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AS327s2.act.gov.au\ETDHome01\J\JessicaJ Smith\Desktop\"/>
    </mc:Choice>
  </mc:AlternateContent>
  <xr:revisionPtr revIDLastSave="0" documentId="8_{9701AB79-93C7-4976-8CFC-72CC9C04EC4D}" xr6:coauthVersionLast="47" xr6:coauthVersionMax="47" xr10:uidLastSave="{00000000-0000-0000-0000-000000000000}"/>
  <workbookProtection workbookAlgorithmName="SHA-512" workbookHashValue="X8jCJz6NvCPwH1LFmF0TjwMPwfVzl0DaEvzY/x3ArppNrj6WHtDw/mCCy2hBOIx4h/d9DloIXASE/a5OOAvJ8A==" workbookSaltValue="qbJKt9C1hJodynP1HLB+yQ==" workbookSpinCount="100000" lockStructure="1"/>
  <bookViews>
    <workbookView xWindow="-108" yWindow="-108" windowWidth="23256" windowHeight="12456" activeTab="1" xr2:uid="{FC80BD31-5277-7B4F-8B53-BB713FB2A56B}"/>
  </bookViews>
  <sheets>
    <sheet name="Instructions" sheetId="5" r:id="rId1"/>
    <sheet name="Daily" sheetId="7" r:id="rId2"/>
    <sheet name="Fortnightly (Detailed)" sheetId="1" r:id="rId3"/>
    <sheet name="Lookups" sheetId="2" state="hidden" r:id="rId4"/>
  </sheets>
  <definedNames>
    <definedName name="hr_rate_cap">Lookups!$C$4</definedName>
    <definedName name="kindy_hours">Lookups!$C$5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E8" i="2"/>
  <c r="D8" i="2"/>
  <c r="C8" i="2"/>
  <c r="AA21" i="1"/>
  <c r="AA20" i="1"/>
  <c r="AA19" i="1"/>
  <c r="AA18" i="1"/>
  <c r="AA17" i="1"/>
  <c r="AA16" i="1"/>
  <c r="AA15" i="1"/>
  <c r="AA14" i="1"/>
  <c r="AA13" i="1"/>
  <c r="AA12" i="1"/>
  <c r="E9" i="2" l="1"/>
  <c r="D9" i="2"/>
  <c r="C5" i="2"/>
  <c r="P11" i="7"/>
  <c r="Q11" i="7" s="1"/>
  <c r="H11" i="7"/>
  <c r="I11" i="7" s="1"/>
  <c r="J11" i="7" s="1"/>
  <c r="K11" i="7" s="1"/>
  <c r="L11" i="7" l="1"/>
  <c r="U11" i="7"/>
  <c r="H25" i="1"/>
  <c r="H24" i="1"/>
  <c r="H26" i="1"/>
  <c r="X16" i="1"/>
  <c r="Y16" i="1" s="1"/>
  <c r="X15" i="1"/>
  <c r="Y15" i="1" s="1"/>
  <c r="X21" i="1"/>
  <c r="Y21" i="1" s="1"/>
  <c r="K21" i="1"/>
  <c r="L21" i="1" s="1"/>
  <c r="M21" i="1" s="1"/>
  <c r="X20" i="1"/>
  <c r="Y20" i="1" s="1"/>
  <c r="K20" i="1"/>
  <c r="L20" i="1" s="1"/>
  <c r="M20" i="1" s="1"/>
  <c r="X19" i="1"/>
  <c r="Y19" i="1" s="1"/>
  <c r="K19" i="1"/>
  <c r="L19" i="1" s="1"/>
  <c r="M19" i="1" s="1"/>
  <c r="X18" i="1"/>
  <c r="Y18" i="1" s="1"/>
  <c r="K18" i="1"/>
  <c r="L18" i="1" s="1"/>
  <c r="X17" i="1"/>
  <c r="Y17" i="1" s="1"/>
  <c r="K17" i="1"/>
  <c r="L17" i="1" s="1"/>
  <c r="M17" i="1" s="1"/>
  <c r="K16" i="1"/>
  <c r="L16" i="1" s="1"/>
  <c r="M16" i="1" s="1"/>
  <c r="K15" i="1"/>
  <c r="L15" i="1" s="1"/>
  <c r="M15" i="1" s="1"/>
  <c r="X14" i="1"/>
  <c r="Y14" i="1" s="1"/>
  <c r="X13" i="1"/>
  <c r="Y13" i="1" s="1"/>
  <c r="K13" i="1"/>
  <c r="L13" i="1" s="1"/>
  <c r="M13" i="1" s="1"/>
  <c r="K14" i="1"/>
  <c r="L14" i="1" s="1"/>
  <c r="M14" i="1" s="1"/>
  <c r="X12" i="1"/>
  <c r="Y12" i="1" s="1"/>
  <c r="K12" i="1"/>
  <c r="L12" i="1" s="1"/>
  <c r="O12" i="1" s="1"/>
  <c r="Z12" i="1" l="1"/>
  <c r="AC17" i="1"/>
  <c r="AC18" i="1" s="1"/>
  <c r="AC19" i="1" s="1"/>
  <c r="AC20" i="1" s="1"/>
  <c r="AC21" i="1" s="1"/>
  <c r="AC12" i="1"/>
  <c r="AC13" i="1" s="1"/>
  <c r="S11" i="7"/>
  <c r="V11" i="7" s="1"/>
  <c r="M11" i="7"/>
  <c r="R11" i="7"/>
  <c r="M18" i="1"/>
  <c r="N18" i="1" s="1"/>
  <c r="M12" i="1"/>
  <c r="N12" i="1" s="1"/>
  <c r="P12" i="1" s="1"/>
  <c r="Q12" i="1" s="1"/>
  <c r="N14" i="1"/>
  <c r="N20" i="1"/>
  <c r="N19" i="1"/>
  <c r="N15" i="1"/>
  <c r="N16" i="1"/>
  <c r="N17" i="1"/>
  <c r="N21" i="1"/>
  <c r="N13" i="1"/>
  <c r="O13" i="1"/>
  <c r="R12" i="1" l="1"/>
  <c r="O11" i="7"/>
  <c r="C20" i="7"/>
  <c r="N11" i="7"/>
  <c r="S12" i="1"/>
  <c r="T12" i="1"/>
  <c r="AB13" i="1"/>
  <c r="Z13" i="1"/>
  <c r="T11" i="7"/>
  <c r="W11" i="7" s="1"/>
  <c r="X11" i="7" s="1"/>
  <c r="AB12" i="1"/>
  <c r="AE12" i="1" s="1"/>
  <c r="AD12" i="1"/>
  <c r="AC14" i="1"/>
  <c r="AC15" i="1" s="1"/>
  <c r="AC16" i="1" s="1"/>
  <c r="O14" i="1"/>
  <c r="P13" i="1"/>
  <c r="C21" i="7" l="1"/>
  <c r="C22" i="7" s="1"/>
  <c r="S13" i="1"/>
  <c r="Q13" i="1"/>
  <c r="Z14" i="1"/>
  <c r="T13" i="1"/>
  <c r="AD13" i="1"/>
  <c r="AE13" i="1"/>
  <c r="AH13" i="1" s="1"/>
  <c r="Z11" i="7"/>
  <c r="AH12" i="1"/>
  <c r="AD14" i="1"/>
  <c r="O15" i="1"/>
  <c r="AF12" i="1"/>
  <c r="P14" i="1"/>
  <c r="R13" i="1" l="1"/>
  <c r="S14" i="1"/>
  <c r="Q14" i="1"/>
  <c r="T14" i="1"/>
  <c r="Z15" i="1"/>
  <c r="T15" i="1"/>
  <c r="AF13" i="1"/>
  <c r="C23" i="7"/>
  <c r="AB14" i="1"/>
  <c r="AE14" i="1" s="1"/>
  <c r="AH14" i="1" s="1"/>
  <c r="O16" i="1"/>
  <c r="P15" i="1"/>
  <c r="R14" i="1" l="1"/>
  <c r="S15" i="1"/>
  <c r="Q15" i="1"/>
  <c r="R15" i="1" s="1"/>
  <c r="Z16" i="1"/>
  <c r="T16" i="1"/>
  <c r="Y11" i="7"/>
  <c r="AF14" i="1"/>
  <c r="AG14" i="1"/>
  <c r="AI14" i="1" s="1"/>
  <c r="AK14" i="1" s="1"/>
  <c r="P16" i="1"/>
  <c r="O17" i="1"/>
  <c r="AB15" i="1"/>
  <c r="AE15" i="1" s="1"/>
  <c r="AD15" i="1"/>
  <c r="AG15" i="1" s="1"/>
  <c r="AG13" i="1"/>
  <c r="AI13" i="1" s="1"/>
  <c r="AK13" i="1" s="1"/>
  <c r="AL13" i="1" l="1"/>
  <c r="AL14" i="1"/>
  <c r="S16" i="1"/>
  <c r="Q16" i="1"/>
  <c r="Q24" i="1" s="1"/>
  <c r="Z17" i="1"/>
  <c r="C25" i="7"/>
  <c r="C27" i="7" s="1"/>
  <c r="AB16" i="1"/>
  <c r="AB24" i="1" s="1"/>
  <c r="AD16" i="1"/>
  <c r="AG16" i="1" s="1"/>
  <c r="AA24" i="1"/>
  <c r="AG12" i="1"/>
  <c r="O18" i="1"/>
  <c r="P17" i="1"/>
  <c r="AH15" i="1"/>
  <c r="AF15" i="1"/>
  <c r="P24" i="1"/>
  <c r="R16" i="1" l="1"/>
  <c r="S17" i="1"/>
  <c r="Q17" i="1"/>
  <c r="T17" i="1"/>
  <c r="Z18" i="1"/>
  <c r="C26" i="7"/>
  <c r="AD24" i="1"/>
  <c r="AE16" i="1"/>
  <c r="P18" i="1"/>
  <c r="O19" i="1"/>
  <c r="AI12" i="1"/>
  <c r="AG24" i="1"/>
  <c r="AI15" i="1"/>
  <c r="AB17" i="1"/>
  <c r="AE17" i="1" s="1"/>
  <c r="AD17" i="1"/>
  <c r="AK12" i="1" l="1"/>
  <c r="AL12" i="1"/>
  <c r="S18" i="1"/>
  <c r="Q18" i="1"/>
  <c r="R18" i="1" s="1"/>
  <c r="R17" i="1"/>
  <c r="AK15" i="1"/>
  <c r="AL15" i="1"/>
  <c r="R24" i="1"/>
  <c r="T18" i="1"/>
  <c r="Z19" i="1"/>
  <c r="T19" i="1"/>
  <c r="AH17" i="1"/>
  <c r="P19" i="1"/>
  <c r="O20" i="1"/>
  <c r="AB18" i="1"/>
  <c r="AE18" i="1" s="1"/>
  <c r="AH18" i="1" s="1"/>
  <c r="AD18" i="1"/>
  <c r="AH16" i="1"/>
  <c r="AE24" i="1"/>
  <c r="AF17" i="1"/>
  <c r="AF16" i="1"/>
  <c r="S19" i="1" l="1"/>
  <c r="Q19" i="1"/>
  <c r="Z20" i="1"/>
  <c r="T20" i="1"/>
  <c r="AF18" i="1"/>
  <c r="O21" i="1"/>
  <c r="AD19" i="1"/>
  <c r="AB19" i="1"/>
  <c r="P20" i="1"/>
  <c r="AI16" i="1"/>
  <c r="AH24" i="1"/>
  <c r="R19" i="1" l="1"/>
  <c r="S20" i="1"/>
  <c r="Q20" i="1"/>
  <c r="R20" i="1" s="1"/>
  <c r="AK16" i="1"/>
  <c r="AL16" i="1"/>
  <c r="Z21" i="1"/>
  <c r="T21" i="1"/>
  <c r="AG19" i="1"/>
  <c r="AB21" i="1"/>
  <c r="AE21" i="1" s="1"/>
  <c r="P21" i="1"/>
  <c r="AE19" i="1"/>
  <c r="AF19" i="1" s="1"/>
  <c r="AG17" i="1"/>
  <c r="AI17" i="1" s="1"/>
  <c r="AI24" i="1"/>
  <c r="AB20" i="1"/>
  <c r="AE20" i="1" s="1"/>
  <c r="AH20" i="1" s="1"/>
  <c r="AD20" i="1"/>
  <c r="AG20" i="1" s="1"/>
  <c r="S21" i="1" l="1"/>
  <c r="Q21" i="1"/>
  <c r="Q26" i="1" s="1"/>
  <c r="AL24" i="1"/>
  <c r="AK17" i="1"/>
  <c r="AL17" i="1"/>
  <c r="AA25" i="1"/>
  <c r="AG18" i="1"/>
  <c r="AI18" i="1" s="1"/>
  <c r="AD21" i="1"/>
  <c r="AG21" i="1" s="1"/>
  <c r="AA26" i="1"/>
  <c r="P25" i="1"/>
  <c r="P26" i="1"/>
  <c r="AF20" i="1"/>
  <c r="S24" i="1"/>
  <c r="AH21" i="1"/>
  <c r="AE26" i="1"/>
  <c r="AI20" i="1"/>
  <c r="AK20" i="1" s="1"/>
  <c r="AB26" i="1"/>
  <c r="AB25" i="1"/>
  <c r="AK24" i="1"/>
  <c r="AH19" i="1"/>
  <c r="AI19" i="1" s="1"/>
  <c r="AK19" i="1" s="1"/>
  <c r="AE25" i="1"/>
  <c r="R21" i="1" l="1"/>
  <c r="Q25" i="1"/>
  <c r="AL20" i="1"/>
  <c r="AK18" i="1"/>
  <c r="AL18" i="1"/>
  <c r="AL19" i="1"/>
  <c r="AF21" i="1"/>
  <c r="AD26" i="1"/>
  <c r="AG26" i="1"/>
  <c r="AD25" i="1"/>
  <c r="AI21" i="1"/>
  <c r="AL21" i="1" s="1"/>
  <c r="AL25" i="1" s="1"/>
  <c r="AG25" i="1"/>
  <c r="AH25" i="1"/>
  <c r="AH26" i="1"/>
  <c r="R25" i="1" l="1"/>
  <c r="R26" i="1"/>
  <c r="AL26" i="1"/>
  <c r="AI25" i="1"/>
  <c r="AK21" i="1"/>
  <c r="AI26" i="1"/>
  <c r="AK26" i="1" l="1"/>
  <c r="S26" i="1"/>
  <c r="S25" i="1"/>
  <c r="AK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10" authorId="0" shapeId="0" xr:uid="{B411FDA7-C045-9741-A977-9AE75DFEC0D0}">
      <text>
        <r>
          <rPr>
            <b/>
            <sz val="10"/>
            <color rgb="FF000000"/>
            <rFont val="Tahoma"/>
            <family val="2"/>
          </rPr>
          <t>Kidsoft:</t>
        </r>
        <r>
          <rPr>
            <sz val="10"/>
            <color rgb="FF000000"/>
            <rFont val="Tahoma"/>
            <family val="2"/>
          </rPr>
          <t xml:space="preserve">
</t>
        </r>
        <r>
          <rPr>
            <sz val="10"/>
            <color rgb="FF000000"/>
            <rFont val="Tahoma"/>
            <family val="2"/>
          </rPr>
          <t>The CCS hours consumed for this session.</t>
        </r>
      </text>
    </comment>
    <comment ref="N10" authorId="0" shapeId="0" xr:uid="{61A2D95B-FFD0-754A-BBD7-EA4074695FA3}">
      <text>
        <r>
          <rPr>
            <b/>
            <sz val="10"/>
            <color rgb="FF000000"/>
            <rFont val="Tahoma"/>
            <family val="2"/>
          </rPr>
          <t>Kidsoft:</t>
        </r>
        <r>
          <rPr>
            <sz val="10"/>
            <color rgb="FF000000"/>
            <rFont val="Tahoma"/>
            <family val="2"/>
          </rPr>
          <t xml:space="preserve">
</t>
        </r>
        <r>
          <rPr>
            <sz val="10"/>
            <color rgb="FF000000"/>
            <rFont val="Tahoma"/>
            <family val="2"/>
          </rPr>
          <t>Estimated Gap after CCS and before Free Preschool.</t>
        </r>
      </text>
    </comment>
    <comment ref="U10" authorId="0" shapeId="0" xr:uid="{2ED422ED-A308-5D43-8C30-159E081807C1}">
      <text>
        <r>
          <rPr>
            <b/>
            <sz val="10"/>
            <color rgb="FF000000"/>
            <rFont val="Tahoma"/>
            <family val="2"/>
          </rPr>
          <t xml:space="preserve">Kidsoft:
</t>
        </r>
        <r>
          <rPr>
            <sz val="10"/>
            <color rgb="FF000000"/>
            <rFont val="Tahoma"/>
            <family val="2"/>
          </rPr>
          <t>The Free Kindy hours consumed for this Kindy session.</t>
        </r>
      </text>
    </comment>
    <comment ref="B12" authorId="0" shapeId="0" xr:uid="{9D6185D1-9A59-DC45-8FA9-D5F7A3B06CEC}">
      <text>
        <r>
          <rPr>
            <b/>
            <sz val="10"/>
            <color rgb="FF000000"/>
            <rFont val="Tahoma"/>
            <family val="2"/>
          </rPr>
          <t xml:space="preserve">Kidsoft:
</t>
        </r>
        <r>
          <rPr>
            <sz val="10"/>
            <color rgb="FF000000"/>
            <rFont val="Tahoma"/>
            <family val="2"/>
          </rPr>
          <t>The Parent's CCS Withholding Percentage.</t>
        </r>
      </text>
    </comment>
    <comment ref="B14" authorId="0" shapeId="0" xr:uid="{C287C9B0-31A4-5E4A-AA6C-A28A61318C0A}">
      <text>
        <r>
          <rPr>
            <b/>
            <sz val="10"/>
            <color rgb="FF000000"/>
            <rFont val="Tahoma"/>
            <family val="2"/>
          </rPr>
          <t xml:space="preserve">Kidsoft:
</t>
        </r>
        <r>
          <rPr>
            <sz val="10"/>
            <color rgb="FF000000"/>
            <rFont val="Tahoma"/>
            <family val="2"/>
          </rPr>
          <t>Start time needs to be in 24hour format, eg 7am will be 7:00</t>
        </r>
      </text>
    </comment>
    <comment ref="B15" authorId="0" shapeId="0" xr:uid="{C91FB0FB-3C08-A44C-BA8C-BF667975B65B}">
      <text>
        <r>
          <rPr>
            <b/>
            <sz val="10"/>
            <color rgb="FF000000"/>
            <rFont val="Tahoma"/>
            <family val="2"/>
          </rPr>
          <t>Kidsoft:</t>
        </r>
        <r>
          <rPr>
            <sz val="10"/>
            <color rgb="FF000000"/>
            <rFont val="Tahoma"/>
            <family val="2"/>
          </rPr>
          <t xml:space="preserve">
</t>
        </r>
        <r>
          <rPr>
            <sz val="10"/>
            <color rgb="FF000000"/>
            <rFont val="Tahoma"/>
            <family val="2"/>
          </rPr>
          <t>End time needs to be in 24hour format, eg 3pm will be 15:00</t>
        </r>
      </text>
    </comment>
    <comment ref="B16" authorId="0" shapeId="0" xr:uid="{4F460416-EC58-E34E-866E-94F179940625}">
      <text>
        <r>
          <rPr>
            <b/>
            <sz val="10"/>
            <color rgb="FF000000"/>
            <rFont val="Tahoma"/>
            <family val="2"/>
          </rPr>
          <t>Kidsoft:</t>
        </r>
        <r>
          <rPr>
            <sz val="10"/>
            <color rgb="FF000000"/>
            <rFont val="Tahoma"/>
            <family val="2"/>
          </rPr>
          <t xml:space="preserve">
</t>
        </r>
        <r>
          <rPr>
            <sz val="10"/>
            <color rgb="FF000000"/>
            <rFont val="Tahoma"/>
            <family val="2"/>
          </rPr>
          <t>Is the Session covered by CCS Hours?</t>
        </r>
      </text>
    </comment>
    <comment ref="B17" authorId="0" shapeId="0" xr:uid="{B66759CB-686D-E74D-BBD2-BAF57C0FA992}">
      <text>
        <r>
          <rPr>
            <b/>
            <sz val="10"/>
            <color rgb="FF000000"/>
            <rFont val="Tahoma"/>
            <family val="2"/>
          </rPr>
          <t xml:space="preserve">Kidsoft:
</t>
        </r>
        <r>
          <rPr>
            <sz val="10"/>
            <color rgb="FF000000"/>
            <rFont val="Tahoma"/>
            <family val="2"/>
          </rPr>
          <t xml:space="preserve">Start time needs to be in 24hour format, eg 7am will be 7:00
</t>
        </r>
      </text>
    </comment>
    <comment ref="B18" authorId="0" shapeId="0" xr:uid="{5D0B9B19-5A52-6548-9D32-9CE9FCA54F22}">
      <text>
        <r>
          <rPr>
            <b/>
            <sz val="10"/>
            <color rgb="FF000000"/>
            <rFont val="Tahoma"/>
            <family val="2"/>
          </rPr>
          <t xml:space="preserve">Kidsoft:
</t>
        </r>
        <r>
          <rPr>
            <sz val="10"/>
            <color rgb="FF000000"/>
            <rFont val="Tahoma"/>
            <family val="2"/>
          </rPr>
          <t xml:space="preserve">End time needs to be in 24hour format, eg 3pm will be 15:00
</t>
        </r>
      </text>
    </comment>
    <comment ref="B20" authorId="0" shapeId="0" xr:uid="{9CB4431E-D3B1-0E4D-B37C-091BE1714A6F}">
      <text>
        <r>
          <rPr>
            <b/>
            <sz val="10"/>
            <color rgb="FF000000"/>
            <rFont val="Tahoma"/>
            <family val="2"/>
          </rPr>
          <t>Kidsoft:</t>
        </r>
        <r>
          <rPr>
            <sz val="10"/>
            <color rgb="FF000000"/>
            <rFont val="Tahoma"/>
            <family val="2"/>
          </rPr>
          <t xml:space="preserve">
</t>
        </r>
        <r>
          <rPr>
            <sz val="10"/>
            <color rgb="FF000000"/>
            <rFont val="Tahoma"/>
            <family val="2"/>
          </rPr>
          <t>CCS Entitlement Amount (Subsidy) which Includes the Withholding amount.</t>
        </r>
      </text>
    </comment>
    <comment ref="B22" authorId="0" shapeId="0" xr:uid="{F3E0E1DB-3008-BF41-ABBF-F5AE96023267}">
      <text>
        <r>
          <rPr>
            <b/>
            <sz val="10"/>
            <color rgb="FF000000"/>
            <rFont val="Tahoma"/>
            <family val="2"/>
          </rPr>
          <t>Kidsoft:</t>
        </r>
        <r>
          <rPr>
            <sz val="10"/>
            <color rgb="FF000000"/>
            <rFont val="Tahoma"/>
            <family val="2"/>
          </rPr>
          <t xml:space="preserve">
</t>
        </r>
        <r>
          <rPr>
            <sz val="10"/>
            <color rgb="FF000000"/>
            <rFont val="Tahoma"/>
            <family val="2"/>
          </rPr>
          <t>CCS Entitlement Amount (Subsidy) which excludes the Withholding amount.</t>
        </r>
      </text>
    </comment>
    <comment ref="B23" authorId="0" shapeId="0" xr:uid="{D35713E5-5952-914A-B14D-50512B4A21D2}">
      <text>
        <r>
          <rPr>
            <b/>
            <sz val="10"/>
            <color rgb="FF000000"/>
            <rFont val="Tahoma"/>
            <family val="2"/>
          </rPr>
          <t>Kidsoft:</t>
        </r>
        <r>
          <rPr>
            <sz val="10"/>
            <color rgb="FF000000"/>
            <rFont val="Tahoma"/>
            <family val="2"/>
          </rPr>
          <t xml:space="preserve">
</t>
        </r>
        <r>
          <rPr>
            <sz val="10"/>
            <color rgb="FF000000"/>
            <rFont val="Tahoma"/>
            <family val="2"/>
          </rPr>
          <t>Estimated Gap after CCS (Including Withholding) and before Free Preschool.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8" authorId="0" shapeId="0" xr:uid="{89B5179A-2777-5349-9A13-6BC9F5A4D578}">
      <text>
        <r>
          <rPr>
            <b/>
            <sz val="10"/>
            <color rgb="FF000000"/>
            <rFont val="Tahoma"/>
            <family val="2"/>
          </rPr>
          <t>Kidsoft:</t>
        </r>
        <r>
          <rPr>
            <sz val="10"/>
            <color rgb="FF000000"/>
            <rFont val="Tahoma"/>
            <family val="2"/>
          </rPr>
          <t xml:space="preserve">
</t>
        </r>
        <r>
          <rPr>
            <sz val="10"/>
            <color rgb="FF000000"/>
            <rFont val="Tahoma"/>
            <family val="2"/>
          </rPr>
          <t>The number of weeks per year that the Preschool program will operate for.</t>
        </r>
      </text>
    </comment>
    <comment ref="D11" authorId="0" shapeId="0" xr:uid="{949C1CCF-6026-E14E-BC21-2BABF1618036}">
      <text>
        <r>
          <rPr>
            <b/>
            <sz val="10"/>
            <color rgb="FF000000"/>
            <rFont val="Tahoma"/>
            <family val="2"/>
          </rPr>
          <t>Kidsoft:</t>
        </r>
        <r>
          <rPr>
            <sz val="10"/>
            <color rgb="FF000000"/>
            <rFont val="Tahoma"/>
            <family val="2"/>
          </rPr>
          <t xml:space="preserve">
</t>
        </r>
        <r>
          <rPr>
            <sz val="10"/>
            <color rgb="FF000000"/>
            <rFont val="Tahoma"/>
            <family val="2"/>
          </rPr>
          <t>Where a child is in shared care or another arrangement where there are different CCS entitlements held for different enrolments the child is attending under, change the identifier here. Ensure that for each unique identifier the CCS %, CCS Hours and Withholding are the same.</t>
        </r>
      </text>
    </comment>
    <comment ref="E11" authorId="0" shapeId="0" xr:uid="{93AA0117-F34C-DB41-97FB-D1FB811F3941}">
      <text>
        <r>
          <rPr>
            <b/>
            <sz val="10"/>
            <color rgb="FF000000"/>
            <rFont val="Tahoma"/>
            <family val="2"/>
          </rPr>
          <t xml:space="preserve">Kidsoft:
</t>
        </r>
        <r>
          <rPr>
            <sz val="10"/>
            <color rgb="FF000000"/>
            <rFont val="Tahoma"/>
            <family val="2"/>
          </rPr>
          <t>CCS Entitlement Percentage.</t>
        </r>
      </text>
    </comment>
    <comment ref="F11" authorId="0" shapeId="0" xr:uid="{DD3B657A-F810-B047-A6C4-7ABF2586E74C}">
      <text>
        <r>
          <rPr>
            <b/>
            <sz val="10"/>
            <color rgb="FF000000"/>
            <rFont val="Tahoma"/>
            <family val="2"/>
          </rPr>
          <t>Kidsoft:</t>
        </r>
        <r>
          <rPr>
            <sz val="10"/>
            <color rgb="FF000000"/>
            <rFont val="Tahoma"/>
            <family val="2"/>
          </rPr>
          <t xml:space="preserve">
</t>
        </r>
        <r>
          <rPr>
            <sz val="10"/>
            <color rgb="FF000000"/>
            <rFont val="Tahoma"/>
            <family val="2"/>
          </rPr>
          <t>CCS Entitlement Hours for the fortnight.</t>
        </r>
      </text>
    </comment>
    <comment ref="G11" authorId="0" shapeId="0" xr:uid="{A5283C3A-5CF7-D74A-A2B1-45A7F56F1CF1}">
      <text>
        <r>
          <rPr>
            <b/>
            <sz val="10"/>
            <color rgb="FF000000"/>
            <rFont val="Tahoma"/>
            <family val="2"/>
          </rPr>
          <t xml:space="preserve">Kidsoft:
</t>
        </r>
        <r>
          <rPr>
            <sz val="10"/>
            <color rgb="FF000000"/>
            <rFont val="Tahoma"/>
            <family val="2"/>
          </rPr>
          <t>The Parent's CCS Withholding Percentage.</t>
        </r>
      </text>
    </comment>
    <comment ref="J11" authorId="0" shapeId="0" xr:uid="{7F6E52D1-CA5D-0B4B-821E-9FACD445D1D0}">
      <text>
        <r>
          <rPr>
            <b/>
            <sz val="10"/>
            <color rgb="FF000000"/>
            <rFont val="Tahoma"/>
            <family val="2"/>
          </rPr>
          <t>Kidsoft:</t>
        </r>
        <r>
          <rPr>
            <sz val="10"/>
            <color rgb="FF000000"/>
            <rFont val="Tahoma"/>
            <family val="2"/>
          </rPr>
          <t xml:space="preserve">
</t>
        </r>
        <r>
          <rPr>
            <sz val="10"/>
            <color rgb="FF000000"/>
            <rFont val="Tahoma"/>
            <family val="2"/>
          </rPr>
          <t>End time needs to be in 24hour format, eg 3pm will be 15:00</t>
        </r>
      </text>
    </comment>
    <comment ref="O11" authorId="0" shapeId="0" xr:uid="{0A7DD046-1F89-BB48-A6EB-DC7222BEE4CC}">
      <text>
        <r>
          <rPr>
            <b/>
            <sz val="10"/>
            <color rgb="FF000000"/>
            <rFont val="Tahoma"/>
            <family val="2"/>
          </rPr>
          <t>Kidsoft:</t>
        </r>
        <r>
          <rPr>
            <sz val="10"/>
            <color rgb="FF000000"/>
            <rFont val="Tahoma"/>
            <family val="2"/>
          </rPr>
          <t xml:space="preserve">
</t>
        </r>
        <r>
          <rPr>
            <sz val="10"/>
            <color rgb="FF000000"/>
            <rFont val="Tahoma"/>
            <family val="2"/>
          </rPr>
          <t>The CCS hours consumed for this session.</t>
        </r>
      </text>
    </comment>
    <comment ref="R11" authorId="0" shapeId="0" xr:uid="{9724F4C5-8429-8A40-A627-D66156C3F07E}">
      <text>
        <r>
          <rPr>
            <b/>
            <sz val="10"/>
            <color rgb="FF000000"/>
            <rFont val="Tahoma"/>
            <family val="2"/>
          </rPr>
          <t>Kidsoft:</t>
        </r>
        <r>
          <rPr>
            <sz val="10"/>
            <color rgb="FF000000"/>
            <rFont val="Tahoma"/>
            <family val="2"/>
          </rPr>
          <t xml:space="preserve">
</t>
        </r>
        <r>
          <rPr>
            <sz val="10"/>
            <color rgb="FF000000"/>
            <rFont val="Tahoma"/>
            <family val="2"/>
          </rPr>
          <t>CCS Entitlement Amount (Subsidy) which excludes the Withholding amount.</t>
        </r>
      </text>
    </comment>
    <comment ref="S11" authorId="0" shapeId="0" xr:uid="{24DFC8F0-7488-604F-9FF5-C86BBC939DC2}">
      <text>
        <r>
          <rPr>
            <b/>
            <sz val="10"/>
            <color rgb="FF000000"/>
            <rFont val="Tahoma"/>
            <family val="2"/>
          </rPr>
          <t>Kidsoft:</t>
        </r>
        <r>
          <rPr>
            <sz val="10"/>
            <color rgb="FF000000"/>
            <rFont val="Tahoma"/>
            <family val="2"/>
          </rPr>
          <t xml:space="preserve">
</t>
        </r>
        <r>
          <rPr>
            <sz val="10"/>
            <color rgb="FF000000"/>
            <rFont val="Tahoma"/>
            <family val="2"/>
          </rPr>
          <t>Estimated Gap after CCS (Including Withholding) and before Free Preschool.</t>
        </r>
      </text>
    </comment>
    <comment ref="W11" authorId="0" shapeId="0" xr:uid="{CA2F572F-0BF5-9D45-BA7E-6C7A68981C13}">
      <text>
        <r>
          <rPr>
            <b/>
            <sz val="10"/>
            <color rgb="FF000000"/>
            <rFont val="Tahoma"/>
            <family val="2"/>
          </rPr>
          <t xml:space="preserve">Kidsoft:
</t>
        </r>
        <r>
          <rPr>
            <sz val="10"/>
            <color rgb="FF000000"/>
            <rFont val="Tahoma"/>
            <family val="2"/>
          </rPr>
          <t xml:space="preserve">End time needs to be in 24hour format, eg 3pm will be 15:00
</t>
        </r>
      </text>
    </comment>
    <comment ref="AC11" authorId="0" shapeId="0" xr:uid="{914C5943-46FF-4844-93A0-B10CE0937F04}">
      <text>
        <r>
          <rPr>
            <b/>
            <sz val="10"/>
            <color rgb="FF000000"/>
            <rFont val="Tahoma"/>
            <family val="2"/>
          </rPr>
          <t xml:space="preserve">Kidsoft:
</t>
        </r>
        <r>
          <rPr>
            <sz val="10"/>
            <color rgb="FF000000"/>
            <rFont val="Tahoma"/>
            <family val="2"/>
          </rPr>
          <t>The Free Kindy hours consumed for this Kindy session.</t>
        </r>
      </text>
    </comment>
  </commentList>
</comments>
</file>

<file path=xl/sharedStrings.xml><?xml version="1.0" encoding="utf-8"?>
<sst xmlns="http://schemas.openxmlformats.org/spreadsheetml/2006/main" count="113" uniqueCount="71">
  <si>
    <t>Powered By</t>
  </si>
  <si>
    <t>Free Three-year-old preschool Calculator</t>
  </si>
  <si>
    <t>How the Funding Works</t>
  </si>
  <si>
    <t>More details can be found in the Program Guidelines, available on the Directorate website.</t>
  </si>
  <si>
    <t>How to use this Calculator</t>
  </si>
  <si>
    <t xml:space="preserve">Hover over the red triangle for an explanation of the cells.
Start by setting the number of operating weeks for your Program on the Fortnightly (Detailed) tab. This drives the allocation of the 300 hours into a per week amount.
</t>
  </si>
  <si>
    <t>Daily</t>
  </si>
  <si>
    <t>The Daily Calculator allows you to get an estimate of a Family's out of pocket costs for a single day.
Simply enter the session details in the green cells and the calculator will show you the estimated gap fee after CCS and Preschool Funding.
*NB. You can only choose whether the session is covered by their CCS hours or not. If you want to see the mix where the Family may consume their CCS hours early, please use the Fortnightly (Detailed) calculator.</t>
  </si>
  <si>
    <t>Fortnightly (Detailed)</t>
  </si>
  <si>
    <t>The Fortnightly Calculator allows you to get a full picture of a Family's out of pocket costs by taking into consideration their CCS hours for the full fortnight.
Simply enter the session details in the green cells along with the Preschool Program hours and the calculator will show you the estimated gap fee after CCS and Preschool Funding.</t>
  </si>
  <si>
    <t>Free Three-year-old preschool Calculator - Daily</t>
  </si>
  <si>
    <t>Instructions</t>
  </si>
  <si>
    <t>Session Hours</t>
  </si>
  <si>
    <t>Session Hours Decimal</t>
  </si>
  <si>
    <t>Hourly Session Fee</t>
  </si>
  <si>
    <t>Applicable CCS Hourly Rate</t>
  </si>
  <si>
    <t>Applicable CCS Hours</t>
  </si>
  <si>
    <t>CCS Amount (Including Witholding)</t>
  </si>
  <si>
    <t>Estimated Gap Fee before Free Preschool</t>
  </si>
  <si>
    <t>CCS per Hour</t>
  </si>
  <si>
    <t>Kindy Hours</t>
  </si>
  <si>
    <t>Kindy Hours Decimal</t>
  </si>
  <si>
    <t>CCS Funding for Kindy Hours</t>
  </si>
  <si>
    <t>CCS Funded Kindy Hours</t>
  </si>
  <si>
    <t>Non-CCS Funded Kindy Hours</t>
  </si>
  <si>
    <t>Applicable Kindy Hours</t>
  </si>
  <si>
    <t>Applicable Kindy Funding CCS Funded Hours</t>
  </si>
  <si>
    <t>Applicable Kindy Funding Non-CCS Funded Hours</t>
  </si>
  <si>
    <t>Check</t>
  </si>
  <si>
    <t>Applicable Kindy Funding CCS Funded Amount</t>
  </si>
  <si>
    <t>Applicable Kindy Funding Non-CCS Funded Amount</t>
  </si>
  <si>
    <t>CCS %</t>
  </si>
  <si>
    <t>CCS Withholding %</t>
  </si>
  <si>
    <t>Session Fee</t>
  </si>
  <si>
    <t>Session Start</t>
  </si>
  <si>
    <t>Session End</t>
  </si>
  <si>
    <t>Session Covered by CCS Hours</t>
  </si>
  <si>
    <t>Y</t>
  </si>
  <si>
    <t>Preschool Program Start</t>
  </si>
  <si>
    <t>Preschool Program End</t>
  </si>
  <si>
    <t>Withholdings</t>
  </si>
  <si>
    <t>CCS Entitlement Amount
(Less Witholding)</t>
  </si>
  <si>
    <t>Applicable Preschool Funding Amount</t>
  </si>
  <si>
    <t>Estimated Gap Fee after CSS &amp; Free Preschool</t>
  </si>
  <si>
    <t>Estimated Gap Fee after CSS (Excluding Withholding) &amp; Free Preschool</t>
  </si>
  <si>
    <t>Free Three-year-old preschool Calculator  - Fortnightly (Detailed)</t>
  </si>
  <si>
    <t>Number of Program Weeks per Year</t>
  </si>
  <si>
    <t>Week</t>
  </si>
  <si>
    <t>Day</t>
  </si>
  <si>
    <t>Enrolment ID</t>
  </si>
  <si>
    <t>Fortnightly CCS Hours</t>
  </si>
  <si>
    <t>Preschool Hours</t>
  </si>
  <si>
    <t>CCS Funding for Preschool Hours</t>
  </si>
  <si>
    <t>Applicable Preschool Hours</t>
  </si>
  <si>
    <t>Mon</t>
  </si>
  <si>
    <t>E1</t>
  </si>
  <si>
    <t>Tue</t>
  </si>
  <si>
    <t>Wed</t>
  </si>
  <si>
    <t>Thu</t>
  </si>
  <si>
    <t>Fri</t>
  </si>
  <si>
    <t>Week 1 Totals</t>
  </si>
  <si>
    <t>Week 2 Totals</t>
  </si>
  <si>
    <t>Fortnight Total</t>
  </si>
  <si>
    <t>FY26</t>
  </si>
  <si>
    <t>FY25</t>
  </si>
  <si>
    <t>FY24</t>
  </si>
  <si>
    <t>CCS Hourly Rate Cap</t>
  </si>
  <si>
    <t>Kindy Hours per Week</t>
  </si>
  <si>
    <t>Free Preschool Hours per Year</t>
  </si>
  <si>
    <t>FY27</t>
  </si>
  <si>
    <t>To support the principle of universal access, The Three-year-old preschool program will provide Partner Providers with a total funding allocation of $3,057.00 per eligible child per year (pro-rata on a quarterly basis), which comprises both program funding (Program Payment) and fee relief funding (Fee Relief Payment) for 300 hours of preschool delivery.
Fee relief will only be applied to 300 hours of program delivery across the year and does not include CCS withholding. These hours may vary depending on the Partner Provider’s chosen model. Families will continue to pay the usual rate for any additional hours or days attended. CCS withholding should still be applied to any hours applied outside of the program hours – this calculator tool will ensure CCS withholding is only applied to the additional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</si>
</sst>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
    <numFmt numFmtId="166" formatCode="_(* #,##0.0000_);_(* \(#,##0.0000\);_(* &quot;-&quot;??_);_(@_)"/>
  </numFmts>
  <fonts count="13" x14ac:knownFonts="1">
    <font>
      <sz val="12"/>
      <color theme="1"/>
      <name val="Calibri"/>
      <family val="2"/>
      <scheme val="minor"/>
    </font>
    <font>
      <sz val="12"/>
      <color theme="1"/>
      <name val="Calibri"/>
      <family val="2"/>
      <scheme val="minor"/>
    </font>
    <font>
      <sz val="12"/>
      <color rgb="FF3F3F76"/>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8"/>
      <name val="Calibri"/>
      <family val="2"/>
      <scheme val="minor"/>
    </font>
    <font>
      <sz val="10"/>
      <color rgb="FF000000"/>
      <name val="Tahoma"/>
      <family val="2"/>
    </font>
    <font>
      <b/>
      <sz val="10"/>
      <color rgb="FF000000"/>
      <name val="Tahoma"/>
      <family val="2"/>
    </font>
    <font>
      <sz val="14"/>
      <color theme="1"/>
      <name val="Calibri"/>
      <family val="2"/>
      <scheme val="minor"/>
    </font>
    <font>
      <b/>
      <sz val="28"/>
      <color theme="1"/>
      <name val="Calibri"/>
      <family val="2"/>
      <scheme val="minor"/>
    </font>
    <font>
      <u/>
      <sz val="12"/>
      <color theme="10"/>
      <name val="Calibri"/>
      <family val="2"/>
      <scheme val="minor"/>
    </font>
    <font>
      <b/>
      <u/>
      <sz val="12"/>
      <color theme="1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2ED09A"/>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2" borderId="1" applyNumberFormat="0" applyAlignment="0" applyProtection="0"/>
    <xf numFmtId="0" fontId="11" fillId="0" borderId="0" applyNumberFormat="0" applyFill="0" applyBorder="0" applyAlignment="0" applyProtection="0"/>
    <xf numFmtId="9" fontId="1" fillId="0" borderId="0" applyFont="0" applyFill="0" applyBorder="0" applyAlignment="0" applyProtection="0"/>
  </cellStyleXfs>
  <cellXfs count="30">
    <xf numFmtId="0" fontId="0" fillId="0" borderId="0" xfId="0"/>
    <xf numFmtId="0" fontId="0" fillId="3" borderId="0" xfId="0" applyFill="1"/>
    <xf numFmtId="0" fontId="3" fillId="3" borderId="0" xfId="0" applyFont="1" applyFill="1"/>
    <xf numFmtId="0" fontId="10" fillId="3" borderId="0" xfId="0" applyFont="1" applyFill="1"/>
    <xf numFmtId="0" fontId="5" fillId="3" borderId="0" xfId="0" applyFont="1" applyFill="1" applyAlignment="1">
      <alignment vertical="center"/>
    </xf>
    <xf numFmtId="0" fontId="11" fillId="3" borderId="0" xfId="3" applyFill="1"/>
    <xf numFmtId="0" fontId="3" fillId="3" borderId="0" xfId="0" applyFont="1" applyFill="1" applyAlignment="1">
      <alignment wrapText="1"/>
    </xf>
    <xf numFmtId="20" fontId="0" fillId="3" borderId="0" xfId="0" applyNumberFormat="1" applyFill="1"/>
    <xf numFmtId="165" fontId="0" fillId="3" borderId="0" xfId="0" applyNumberFormat="1" applyFill="1" applyAlignment="1">
      <alignment horizontal="center"/>
    </xf>
    <xf numFmtId="164" fontId="0" fillId="3" borderId="0" xfId="0" applyNumberFormat="1" applyFill="1"/>
    <xf numFmtId="165" fontId="0" fillId="3" borderId="0" xfId="0" applyNumberFormat="1" applyFill="1"/>
    <xf numFmtId="164" fontId="0" fillId="3" borderId="0" xfId="1" applyFont="1" applyFill="1"/>
    <xf numFmtId="166" fontId="0" fillId="3" borderId="0" xfId="0" applyNumberFormat="1" applyFill="1"/>
    <xf numFmtId="0" fontId="0" fillId="3" borderId="2" xfId="0" applyFill="1" applyBorder="1"/>
    <xf numFmtId="164" fontId="3" fillId="3" borderId="3" xfId="1" applyFont="1" applyFill="1" applyBorder="1"/>
    <xf numFmtId="9" fontId="0" fillId="3" borderId="0" xfId="0" applyNumberFormat="1" applyFill="1"/>
    <xf numFmtId="164" fontId="0" fillId="3" borderId="3" xfId="1" applyFont="1" applyFill="1" applyBorder="1"/>
    <xf numFmtId="0" fontId="1" fillId="4" borderId="1" xfId="2" applyFont="1" applyFill="1" applyProtection="1">
      <protection locked="0"/>
    </xf>
    <xf numFmtId="9" fontId="1" fillId="4" borderId="1" xfId="2" applyNumberFormat="1" applyFont="1" applyFill="1" applyProtection="1">
      <protection locked="0"/>
    </xf>
    <xf numFmtId="20" fontId="1" fillId="4" borderId="1" xfId="2" applyNumberFormat="1" applyFont="1" applyFill="1" applyProtection="1">
      <protection locked="0"/>
    </xf>
    <xf numFmtId="0" fontId="1" fillId="4" borderId="1" xfId="2" applyFont="1" applyFill="1" applyAlignment="1" applyProtection="1">
      <alignment horizontal="right"/>
      <protection locked="0"/>
    </xf>
    <xf numFmtId="164" fontId="3" fillId="3" borderId="4" xfId="1" applyFont="1" applyFill="1" applyBorder="1"/>
    <xf numFmtId="0" fontId="4" fillId="3" borderId="0" xfId="0" applyFont="1" applyFill="1"/>
    <xf numFmtId="0" fontId="9" fillId="3" borderId="0" xfId="0" applyFont="1" applyFill="1"/>
    <xf numFmtId="0" fontId="12" fillId="3" borderId="0" xfId="3" applyFont="1" applyFill="1"/>
    <xf numFmtId="0" fontId="0" fillId="3" borderId="0" xfId="0" applyFill="1" applyAlignment="1">
      <alignment horizontal="left" vertical="top" wrapText="1"/>
    </xf>
    <xf numFmtId="10" fontId="0" fillId="0" borderId="0" xfId="4" applyNumberFormat="1" applyFont="1"/>
    <xf numFmtId="0" fontId="0" fillId="3" borderId="0" xfId="0" applyFill="1" applyAlignment="1">
      <alignment horizontal="left" vertical="top" wrapText="1"/>
    </xf>
    <xf numFmtId="0" fontId="11" fillId="0" borderId="0" xfId="3" applyFill="1" applyAlignment="1">
      <alignment wrapText="1"/>
    </xf>
    <xf numFmtId="0" fontId="0" fillId="3" borderId="0" xfId="0" applyFill="1" applyAlignment="1">
      <alignment horizontal="center"/>
    </xf>
  </cellXfs>
  <cellStyles count="5">
    <cellStyle name="Comma" xfId="1" builtinId="3"/>
    <cellStyle name="Hyperlink" xfId="3" builtinId="8"/>
    <cellStyle name="Input" xfId="2" builtinId="20"/>
    <cellStyle name="Normal" xfId="0" builtinId="0"/>
    <cellStyle name="Percent" xfId="4" builtinId="5"/>
  </cellStyles>
  <dxfs count="1">
    <dxf>
      <font>
        <color rgb="FF9C0006"/>
      </font>
      <fill>
        <patternFill>
          <bgColor rgb="FFFFC7CE"/>
        </patternFill>
      </fill>
    </dxf>
  </dxfs>
  <tableStyles count="0" defaultTableStyle="TableStyleMedium2" defaultPivotStyle="PivotStyleLight16"/>
  <colors>
    <mruColors>
      <color rgb="FFFF7D6F"/>
      <color rgb="FF2ED09A"/>
      <color rgb="FF60D6FF"/>
      <color rgb="FF403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hildcarehive.com.au/"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hildcarehive.com.au/"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hildcarehive.com.a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88900</xdr:colOff>
      <xdr:row>0</xdr:row>
      <xdr:rowOff>38100</xdr:rowOff>
    </xdr:from>
    <xdr:to>
      <xdr:col>4</xdr:col>
      <xdr:colOff>393700</xdr:colOff>
      <xdr:row>6</xdr:row>
      <xdr:rowOff>98298</xdr:rowOff>
    </xdr:to>
    <xdr:pic>
      <xdr:nvPicPr>
        <xdr:cNvPr id="3" name="Picture 2">
          <a:extLst>
            <a:ext uri="{FF2B5EF4-FFF2-40B4-BE49-F238E27FC236}">
              <a16:creationId xmlns:a16="http://schemas.microsoft.com/office/drawing/2014/main" id="{9B234919-4838-5742-9BB2-63580A53BC90}"/>
            </a:ext>
          </a:extLst>
        </xdr:cNvPr>
        <xdr:cNvPicPr>
          <a:picLocks noChangeAspect="1"/>
        </xdr:cNvPicPr>
      </xdr:nvPicPr>
      <xdr:blipFill>
        <a:blip xmlns:r="http://schemas.openxmlformats.org/officeDocument/2006/relationships" r:embed="rId1"/>
        <a:stretch>
          <a:fillRect/>
        </a:stretch>
      </xdr:blipFill>
      <xdr:spPr>
        <a:xfrm>
          <a:off x="368300" y="38100"/>
          <a:ext cx="2781300" cy="1279398"/>
        </a:xfrm>
        <a:prstGeom prst="rect">
          <a:avLst/>
        </a:prstGeom>
      </xdr:spPr>
    </xdr:pic>
    <xdr:clientData/>
  </xdr:twoCellAnchor>
  <xdr:twoCellAnchor editAs="oneCell">
    <xdr:from>
      <xdr:col>5</xdr:col>
      <xdr:colOff>88900</xdr:colOff>
      <xdr:row>2</xdr:row>
      <xdr:rowOff>76200</xdr:rowOff>
    </xdr:from>
    <xdr:to>
      <xdr:col>9</xdr:col>
      <xdr:colOff>221187</xdr:colOff>
      <xdr:row>5</xdr:row>
      <xdr:rowOff>101599</xdr:rowOff>
    </xdr:to>
    <xdr:pic>
      <xdr:nvPicPr>
        <xdr:cNvPr id="4" name="Picture 3">
          <a:hlinkClick xmlns:r="http://schemas.openxmlformats.org/officeDocument/2006/relationships" r:id="rId2"/>
          <a:extLst>
            <a:ext uri="{FF2B5EF4-FFF2-40B4-BE49-F238E27FC236}">
              <a16:creationId xmlns:a16="http://schemas.microsoft.com/office/drawing/2014/main" id="{B90D759F-3C3B-534B-BDA8-0424402F8394}"/>
            </a:ext>
          </a:extLst>
        </xdr:cNvPr>
        <xdr:cNvPicPr>
          <a:picLocks noChangeAspect="1"/>
        </xdr:cNvPicPr>
      </xdr:nvPicPr>
      <xdr:blipFill>
        <a:blip xmlns:r="http://schemas.openxmlformats.org/officeDocument/2006/relationships" r:embed="rId3"/>
        <a:stretch>
          <a:fillRect/>
        </a:stretch>
      </xdr:blipFill>
      <xdr:spPr>
        <a:xfrm>
          <a:off x="3670300" y="482600"/>
          <a:ext cx="3434287" cy="634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63500</xdr:rowOff>
    </xdr:from>
    <xdr:to>
      <xdr:col>1</xdr:col>
      <xdr:colOff>2819400</xdr:colOff>
      <xdr:row>6</xdr:row>
      <xdr:rowOff>123698</xdr:rowOff>
    </xdr:to>
    <xdr:pic>
      <xdr:nvPicPr>
        <xdr:cNvPr id="6" name="Picture 5">
          <a:extLst>
            <a:ext uri="{FF2B5EF4-FFF2-40B4-BE49-F238E27FC236}">
              <a16:creationId xmlns:a16="http://schemas.microsoft.com/office/drawing/2014/main" id="{86667107-54DE-B04D-9D1F-89A60C426A9B}"/>
            </a:ext>
          </a:extLst>
        </xdr:cNvPr>
        <xdr:cNvPicPr>
          <a:picLocks noChangeAspect="1"/>
        </xdr:cNvPicPr>
      </xdr:nvPicPr>
      <xdr:blipFill>
        <a:blip xmlns:r="http://schemas.openxmlformats.org/officeDocument/2006/relationships" r:embed="rId1"/>
        <a:stretch>
          <a:fillRect/>
        </a:stretch>
      </xdr:blipFill>
      <xdr:spPr>
        <a:xfrm>
          <a:off x="330200" y="63500"/>
          <a:ext cx="2781300" cy="1279398"/>
        </a:xfrm>
        <a:prstGeom prst="rect">
          <a:avLst/>
        </a:prstGeom>
      </xdr:spPr>
    </xdr:pic>
    <xdr:clientData/>
  </xdr:twoCellAnchor>
  <xdr:twoCellAnchor editAs="oneCell">
    <xdr:from>
      <xdr:col>2</xdr:col>
      <xdr:colOff>101600</xdr:colOff>
      <xdr:row>2</xdr:row>
      <xdr:rowOff>63500</xdr:rowOff>
    </xdr:from>
    <xdr:to>
      <xdr:col>6</xdr:col>
      <xdr:colOff>233887</xdr:colOff>
      <xdr:row>5</xdr:row>
      <xdr:rowOff>88899</xdr:rowOff>
    </xdr:to>
    <xdr:pic>
      <xdr:nvPicPr>
        <xdr:cNvPr id="3" name="Picture 2">
          <a:hlinkClick xmlns:r="http://schemas.openxmlformats.org/officeDocument/2006/relationships" r:id="rId2"/>
          <a:extLst>
            <a:ext uri="{FF2B5EF4-FFF2-40B4-BE49-F238E27FC236}">
              <a16:creationId xmlns:a16="http://schemas.microsoft.com/office/drawing/2014/main" id="{B7E8D8A3-C224-BD44-96F0-DFA6B1162AA3}"/>
            </a:ext>
          </a:extLst>
        </xdr:cNvPr>
        <xdr:cNvPicPr>
          <a:picLocks noChangeAspect="1"/>
        </xdr:cNvPicPr>
      </xdr:nvPicPr>
      <xdr:blipFill>
        <a:blip xmlns:r="http://schemas.openxmlformats.org/officeDocument/2006/relationships" r:embed="rId3"/>
        <a:stretch>
          <a:fillRect/>
        </a:stretch>
      </xdr:blipFill>
      <xdr:spPr>
        <a:xfrm>
          <a:off x="3441700" y="469900"/>
          <a:ext cx="3434287" cy="634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76200</xdr:rowOff>
    </xdr:from>
    <xdr:to>
      <xdr:col>4</xdr:col>
      <xdr:colOff>533400</xdr:colOff>
      <xdr:row>6</xdr:row>
      <xdr:rowOff>136398</xdr:rowOff>
    </xdr:to>
    <xdr:pic>
      <xdr:nvPicPr>
        <xdr:cNvPr id="8" name="Picture 7">
          <a:extLst>
            <a:ext uri="{FF2B5EF4-FFF2-40B4-BE49-F238E27FC236}">
              <a16:creationId xmlns:a16="http://schemas.microsoft.com/office/drawing/2014/main" id="{19A30DFC-0DDD-5E01-4463-C116052A0F68}"/>
            </a:ext>
          </a:extLst>
        </xdr:cNvPr>
        <xdr:cNvPicPr>
          <a:picLocks noChangeAspect="1"/>
        </xdr:cNvPicPr>
      </xdr:nvPicPr>
      <xdr:blipFill>
        <a:blip xmlns:r="http://schemas.openxmlformats.org/officeDocument/2006/relationships" r:embed="rId1"/>
        <a:stretch>
          <a:fillRect/>
        </a:stretch>
      </xdr:blipFill>
      <xdr:spPr>
        <a:xfrm>
          <a:off x="254000" y="76200"/>
          <a:ext cx="2781300" cy="1279398"/>
        </a:xfrm>
        <a:prstGeom prst="rect">
          <a:avLst/>
        </a:prstGeom>
      </xdr:spPr>
    </xdr:pic>
    <xdr:clientData/>
  </xdr:twoCellAnchor>
  <xdr:twoCellAnchor editAs="oneCell">
    <xdr:from>
      <xdr:col>5</xdr:col>
      <xdr:colOff>38100</xdr:colOff>
      <xdr:row>2</xdr:row>
      <xdr:rowOff>101600</xdr:rowOff>
    </xdr:from>
    <xdr:to>
      <xdr:col>10</xdr:col>
      <xdr:colOff>94187</xdr:colOff>
      <xdr:row>5</xdr:row>
      <xdr:rowOff>126999</xdr:rowOff>
    </xdr:to>
    <xdr:pic>
      <xdr:nvPicPr>
        <xdr:cNvPr id="4" name="Picture 3">
          <a:hlinkClick xmlns:r="http://schemas.openxmlformats.org/officeDocument/2006/relationships" r:id="rId2"/>
          <a:extLst>
            <a:ext uri="{FF2B5EF4-FFF2-40B4-BE49-F238E27FC236}">
              <a16:creationId xmlns:a16="http://schemas.microsoft.com/office/drawing/2014/main" id="{DCF28075-D4B2-7D4F-BEA4-406AC5176F40}"/>
            </a:ext>
          </a:extLst>
        </xdr:cNvPr>
        <xdr:cNvPicPr>
          <a:picLocks noChangeAspect="1"/>
        </xdr:cNvPicPr>
      </xdr:nvPicPr>
      <xdr:blipFill>
        <a:blip xmlns:r="http://schemas.openxmlformats.org/officeDocument/2006/relationships" r:embed="rId3"/>
        <a:stretch>
          <a:fillRect/>
        </a:stretch>
      </xdr:blipFill>
      <xdr:spPr>
        <a:xfrm>
          <a:off x="3365500" y="508000"/>
          <a:ext cx="3434287" cy="6349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ct.gov.au/education-and-training/education-service-providers/partner-to-deliver-three-year-old-preschoo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98DF-ACA6-D244-86C3-11069F366E56}">
  <dimension ref="A1:H20"/>
  <sheetViews>
    <sheetView workbookViewId="0">
      <pane ySplit="7" topLeftCell="A8" activePane="bottomLeft" state="frozen"/>
      <selection pane="bottomLeft"/>
    </sheetView>
  </sheetViews>
  <sheetFormatPr defaultColWidth="10.796875" defaultRowHeight="15.6" x14ac:dyDescent="0.3"/>
  <cols>
    <col min="1" max="1" width="3.69921875" style="1" customWidth="1"/>
    <col min="2" max="16384" width="10.796875" style="1"/>
  </cols>
  <sheetData>
    <row r="1" spans="1:8" x14ac:dyDescent="0.3">
      <c r="A1"/>
    </row>
    <row r="2" spans="1:8" x14ac:dyDescent="0.3">
      <c r="F2" s="2" t="s">
        <v>0</v>
      </c>
      <c r="G2" s="2"/>
      <c r="H2" s="2"/>
    </row>
    <row r="7" spans="1:8" ht="36.6" x14ac:dyDescent="0.7">
      <c r="B7" s="3" t="s">
        <v>1</v>
      </c>
    </row>
    <row r="8" spans="1:8" ht="9" customHeight="1" x14ac:dyDescent="0.3"/>
    <row r="9" spans="1:8" ht="18" x14ac:dyDescent="0.35">
      <c r="B9" s="22" t="s">
        <v>2</v>
      </c>
      <c r="C9" s="23"/>
      <c r="D9" s="23"/>
      <c r="E9" s="23"/>
      <c r="F9" s="23"/>
    </row>
    <row r="10" spans="1:8" ht="252" customHeight="1" x14ac:dyDescent="0.3">
      <c r="B10" s="27" t="s">
        <v>70</v>
      </c>
      <c r="C10" s="27"/>
      <c r="D10" s="27"/>
      <c r="E10" s="27"/>
      <c r="F10" s="27"/>
      <c r="G10"/>
    </row>
    <row r="11" spans="1:8" ht="33" customHeight="1" x14ac:dyDescent="0.3">
      <c r="B11" s="28" t="s">
        <v>3</v>
      </c>
      <c r="C11" s="28"/>
      <c r="D11" s="28"/>
      <c r="E11" s="28"/>
      <c r="F11" s="28"/>
    </row>
    <row r="13" spans="1:8" ht="18" x14ac:dyDescent="0.35">
      <c r="B13" s="22" t="s">
        <v>4</v>
      </c>
    </row>
    <row r="14" spans="1:8" ht="84" customHeight="1" x14ac:dyDescent="0.3">
      <c r="B14" s="27" t="s">
        <v>5</v>
      </c>
      <c r="C14" s="27"/>
      <c r="D14" s="27"/>
      <c r="E14" s="27"/>
      <c r="F14" s="27"/>
    </row>
    <row r="15" spans="1:8" x14ac:dyDescent="0.3">
      <c r="B15" s="25"/>
      <c r="C15" s="25"/>
      <c r="D15" s="25"/>
      <c r="E15" s="25"/>
      <c r="F15" s="25"/>
    </row>
    <row r="16" spans="1:8" x14ac:dyDescent="0.3">
      <c r="B16" s="24" t="s">
        <v>6</v>
      </c>
    </row>
    <row r="17" spans="2:6" ht="183" customHeight="1" x14ac:dyDescent="0.3">
      <c r="B17" s="27" t="s">
        <v>7</v>
      </c>
      <c r="C17" s="27"/>
      <c r="D17" s="27"/>
      <c r="E17" s="27"/>
      <c r="F17" s="27"/>
    </row>
    <row r="19" spans="2:6" x14ac:dyDescent="0.3">
      <c r="B19" s="24" t="s">
        <v>8</v>
      </c>
    </row>
    <row r="20" spans="2:6" ht="120" customHeight="1" x14ac:dyDescent="0.3">
      <c r="B20" s="27" t="s">
        <v>9</v>
      </c>
      <c r="C20" s="27"/>
      <c r="D20" s="27"/>
      <c r="E20" s="27"/>
      <c r="F20" s="27"/>
    </row>
  </sheetData>
  <sheetProtection algorithmName="SHA-512" hashValue="0h2bfwE09C/BrDnLedIVz95R5GXXtmitNW9CstpplhfL4w/3eGn1js/JD3c2qGuy/iFoDM8KC3inwviNGKdtMA==" saltValue="hHXtX/7EM4en+jDITTyLyw==" spinCount="100000" sheet="1" objects="1" scenarios="1"/>
  <mergeCells count="5">
    <mergeCell ref="B10:F10"/>
    <mergeCell ref="B20:F20"/>
    <mergeCell ref="B17:F17"/>
    <mergeCell ref="B14:F14"/>
    <mergeCell ref="B11:F11"/>
  </mergeCells>
  <hyperlinks>
    <hyperlink ref="B16" location="Daily!A1" display="Daily" xr:uid="{0D3E0C66-FC82-134A-9994-656752EA43E3}"/>
    <hyperlink ref="B19" location="'Fortnightly (Detailed)'!A1" display="Fortnightly (Detailed)" xr:uid="{4E803EB3-099E-5644-B5C9-92DDE29EDF13}"/>
    <hyperlink ref="B11:F11" r:id="rId1" display="More details can be found in the Program Guidelines, available on the Directorate website." xr:uid="{C1FC12B4-0741-114D-AEF1-B849B15C4CF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9DDB-34F4-E840-8B13-E64C6F910D69}">
  <dimension ref="B2:Z29"/>
  <sheetViews>
    <sheetView tabSelected="1" workbookViewId="0">
      <pane ySplit="7" topLeftCell="A8" activePane="bottomLeft" state="frozen"/>
      <selection pane="bottomLeft"/>
    </sheetView>
  </sheetViews>
  <sheetFormatPr defaultColWidth="10.796875" defaultRowHeight="15.6" x14ac:dyDescent="0.3"/>
  <cols>
    <col min="1" max="1" width="3.796875" style="1" customWidth="1"/>
    <col min="2" max="2" width="40" style="1" customWidth="1"/>
    <col min="3" max="7" width="10.796875" style="1"/>
    <col min="8" max="13" width="10.796875" style="1" hidden="1" customWidth="1"/>
    <col min="14" max="14" width="11.796875" style="1" hidden="1" customWidth="1"/>
    <col min="15" max="16" width="10.796875" style="1" hidden="1" customWidth="1"/>
    <col min="17" max="17" width="11" style="1" hidden="1" customWidth="1"/>
    <col min="18" max="21" width="10.796875" style="1" hidden="1" customWidth="1"/>
    <col min="22" max="22" width="14.69921875" style="1" hidden="1" customWidth="1"/>
    <col min="23" max="26" width="10.796875" style="1" hidden="1" customWidth="1"/>
    <col min="27" max="27" width="10.796875" style="1"/>
    <col min="28" max="29" width="10.796875" style="1" customWidth="1"/>
    <col min="30" max="30" width="10.796875" style="1"/>
    <col min="31" max="32" width="10.796875" style="1" customWidth="1"/>
    <col min="33" max="33" width="6" style="1" customWidth="1"/>
    <col min="34" max="36" width="10.796875" style="1" customWidth="1"/>
    <col min="37" max="37" width="4.69921875" style="1" customWidth="1"/>
    <col min="38" max="16384" width="10.796875" style="1"/>
  </cols>
  <sheetData>
    <row r="2" spans="2:26" x14ac:dyDescent="0.3">
      <c r="C2" s="2" t="s">
        <v>0</v>
      </c>
      <c r="E2" s="2"/>
      <c r="F2" s="2"/>
    </row>
    <row r="6" spans="2:26" ht="16.05" customHeight="1" x14ac:dyDescent="0.3"/>
    <row r="7" spans="2:26" ht="43.05" customHeight="1" x14ac:dyDescent="0.7">
      <c r="B7" s="3" t="s">
        <v>10</v>
      </c>
      <c r="H7" s="4"/>
    </row>
    <row r="8" spans="2:26" ht="16.05" customHeight="1" x14ac:dyDescent="0.3">
      <c r="B8" s="5" t="s">
        <v>11</v>
      </c>
      <c r="D8" s="4"/>
      <c r="E8" s="4"/>
      <c r="F8" s="4"/>
      <c r="G8" s="4"/>
      <c r="H8" s="4"/>
    </row>
    <row r="10" spans="2:26" ht="93.6" hidden="1" x14ac:dyDescent="0.3">
      <c r="H10" s="6" t="s">
        <v>12</v>
      </c>
      <c r="I10" s="6" t="s">
        <v>13</v>
      </c>
      <c r="J10" s="6" t="s">
        <v>14</v>
      </c>
      <c r="K10" s="6" t="s">
        <v>15</v>
      </c>
      <c r="L10" s="6" t="s">
        <v>16</v>
      </c>
      <c r="M10" s="6" t="s">
        <v>17</v>
      </c>
      <c r="N10" s="6" t="s">
        <v>18</v>
      </c>
      <c r="O10" s="6" t="s">
        <v>19</v>
      </c>
      <c r="P10" s="2" t="s">
        <v>20</v>
      </c>
      <c r="Q10" s="6" t="s">
        <v>21</v>
      </c>
      <c r="R10" s="6" t="s">
        <v>22</v>
      </c>
      <c r="S10" s="6" t="s">
        <v>23</v>
      </c>
      <c r="T10" s="6" t="s">
        <v>24</v>
      </c>
      <c r="U10" s="6" t="s">
        <v>25</v>
      </c>
      <c r="V10" s="6" t="s">
        <v>26</v>
      </c>
      <c r="W10" s="6" t="s">
        <v>27</v>
      </c>
      <c r="X10" s="6" t="s">
        <v>28</v>
      </c>
      <c r="Y10" s="6" t="s">
        <v>29</v>
      </c>
      <c r="Z10" s="6" t="s">
        <v>30</v>
      </c>
    </row>
    <row r="11" spans="2:26" x14ac:dyDescent="0.3">
      <c r="B11" s="6" t="s">
        <v>31</v>
      </c>
      <c r="C11" s="18">
        <v>0.85</v>
      </c>
      <c r="H11" s="7">
        <f>C15-C14</f>
        <v>0.5</v>
      </c>
      <c r="I11" s="8">
        <f>ROUND(HOUR(H11)+MINUTE(H11)/60,4)</f>
        <v>12</v>
      </c>
      <c r="J11" s="9">
        <f>IFERROR(C13/I11,0)</f>
        <v>12.5</v>
      </c>
      <c r="K11" s="9">
        <f>ROUND(MIN(J11,hr_rate_cap)*($C11),2)</f>
        <v>10.63</v>
      </c>
      <c r="L11" s="9">
        <f>IF(C16="Y",I11,0)</f>
        <v>12</v>
      </c>
      <c r="M11" s="10">
        <f>ROUND(L11*K11,4)</f>
        <v>127.56</v>
      </c>
      <c r="N11" s="10">
        <f>C13-M11</f>
        <v>22.439999999999998</v>
      </c>
      <c r="O11" s="10">
        <f>IF(L11=0,0,M11/L11)</f>
        <v>10.63</v>
      </c>
      <c r="P11" s="7">
        <f>C18-C17</f>
        <v>0.20833333333333337</v>
      </c>
      <c r="Q11" s="8">
        <f>ROUND(HOUR(P11)+MINUTE(P11)/60,4)</f>
        <v>5</v>
      </c>
      <c r="R11" s="1" t="str">
        <f>IF(Q11=0,"",IF(L11&gt;=I11,"All Hours",IF(AND(L11&lt;&gt;0,Q11&lt;&gt;0),"Part","None")))</f>
        <v>All Hours</v>
      </c>
      <c r="S11" s="8">
        <f>IF(L11&gt;=I11,Q11,MAX(0,L11-ROUND(HOUR(C17-C14)+MINUTE(C17-C14)/60,4)))</f>
        <v>5</v>
      </c>
      <c r="T11" s="8">
        <f>Q11-S11</f>
        <v>0</v>
      </c>
      <c r="U11" s="9">
        <f>IF((kindy_hours-Q11)&gt;=0,Q11,kindy_hours)</f>
        <v>5</v>
      </c>
      <c r="V11" s="12">
        <f>IF(U11&gt;=S11,S11,MIN(U11,S11))</f>
        <v>5</v>
      </c>
      <c r="W11" s="12">
        <f>IF((U11-S11)&gt;=T11,T11,MAX(0,(U11-S11)))</f>
        <v>0</v>
      </c>
      <c r="X11" s="12">
        <f>(Q11-SUM(S11:T11))+(U11-SUM(V11:W11))</f>
        <v>0</v>
      </c>
      <c r="Y11" s="12">
        <f>V11*(J11-O11)</f>
        <v>9.3499999999999961</v>
      </c>
      <c r="Z11" s="12">
        <f>W11*(J11)</f>
        <v>0</v>
      </c>
    </row>
    <row r="12" spans="2:26" x14ac:dyDescent="0.3">
      <c r="B12" s="6" t="s">
        <v>32</v>
      </c>
      <c r="C12" s="18">
        <v>0.05</v>
      </c>
      <c r="H12" s="7"/>
      <c r="I12" s="8"/>
      <c r="J12" s="9"/>
      <c r="K12" s="9"/>
      <c r="L12" s="9"/>
      <c r="M12" s="10"/>
      <c r="N12" s="10"/>
      <c r="O12" s="10"/>
      <c r="P12" s="7"/>
      <c r="Q12" s="8"/>
      <c r="S12" s="8"/>
      <c r="T12" s="8"/>
      <c r="U12" s="9"/>
      <c r="V12" s="12"/>
      <c r="W12" s="12"/>
      <c r="X12" s="12"/>
      <c r="Y12" s="12"/>
      <c r="Z12" s="12"/>
    </row>
    <row r="13" spans="2:26" x14ac:dyDescent="0.3">
      <c r="B13" s="6" t="s">
        <v>33</v>
      </c>
      <c r="C13" s="17">
        <v>150</v>
      </c>
    </row>
    <row r="14" spans="2:26" x14ac:dyDescent="0.3">
      <c r="B14" s="6" t="s">
        <v>34</v>
      </c>
      <c r="C14" s="19">
        <v>0.25</v>
      </c>
    </row>
    <row r="15" spans="2:26" x14ac:dyDescent="0.3">
      <c r="B15" s="6" t="s">
        <v>35</v>
      </c>
      <c r="C15" s="19">
        <v>0.75</v>
      </c>
    </row>
    <row r="16" spans="2:26" x14ac:dyDescent="0.3">
      <c r="B16" s="6" t="s">
        <v>36</v>
      </c>
      <c r="C16" s="20" t="s">
        <v>37</v>
      </c>
    </row>
    <row r="17" spans="2:3" x14ac:dyDescent="0.3">
      <c r="B17" s="6" t="s">
        <v>38</v>
      </c>
      <c r="C17" s="19">
        <v>0.375</v>
      </c>
    </row>
    <row r="18" spans="2:3" x14ac:dyDescent="0.3">
      <c r="B18" s="6" t="s">
        <v>39</v>
      </c>
      <c r="C18" s="19">
        <v>0.58333333333333337</v>
      </c>
    </row>
    <row r="19" spans="2:3" x14ac:dyDescent="0.3">
      <c r="B19" s="29"/>
      <c r="C19" s="29"/>
    </row>
    <row r="20" spans="2:3" x14ac:dyDescent="0.3">
      <c r="B20" s="6" t="s">
        <v>17</v>
      </c>
      <c r="C20" s="11">
        <f>M11</f>
        <v>127.56</v>
      </c>
    </row>
    <row r="21" spans="2:3" x14ac:dyDescent="0.3">
      <c r="B21" s="6" t="s">
        <v>40</v>
      </c>
      <c r="C21" s="11">
        <f>ROUND(C20*$C12,4)</f>
        <v>6.3780000000000001</v>
      </c>
    </row>
    <row r="22" spans="2:3" ht="31.2" x14ac:dyDescent="0.3">
      <c r="B22" s="6" t="s">
        <v>41</v>
      </c>
      <c r="C22" s="11">
        <f>ROUND(C20-C21,4)</f>
        <v>121.182</v>
      </c>
    </row>
    <row r="23" spans="2:3" x14ac:dyDescent="0.3">
      <c r="B23" s="6" t="s">
        <v>18</v>
      </c>
      <c r="C23" s="16">
        <f>C13-C20</f>
        <v>22.439999999999998</v>
      </c>
    </row>
    <row r="25" spans="2:3" x14ac:dyDescent="0.3">
      <c r="B25" s="6" t="s">
        <v>42</v>
      </c>
      <c r="C25" s="11">
        <f>SUM(Y11:Z11)</f>
        <v>9.3499999999999961</v>
      </c>
    </row>
    <row r="26" spans="2:3" x14ac:dyDescent="0.3">
      <c r="B26" s="6" t="s">
        <v>43</v>
      </c>
      <c r="C26" s="21">
        <f>C23-C25</f>
        <v>13.090000000000002</v>
      </c>
    </row>
    <row r="27" spans="2:3" ht="31.2" x14ac:dyDescent="0.3">
      <c r="B27" s="6" t="s">
        <v>44</v>
      </c>
      <c r="C27" s="21">
        <f>(C13-C22)-C25</f>
        <v>19.468000000000004</v>
      </c>
    </row>
    <row r="29" spans="2:3" x14ac:dyDescent="0.3">
      <c r="B29" s="10"/>
    </row>
  </sheetData>
  <sheetProtection algorithmName="SHA-512" hashValue="dXfAMbOcnIWQGwiyZOVuLQ+2V+nqEPJaSvLVHzpW4sxAFOImuJM563xKa4t0Wtk0XTggwCt87X0YGFcEJoz4Gw==" saltValue="HeytkBvHeC5lM7mKbmA2fQ==" spinCount="100000" sheet="1" objects="1" scenarios="1"/>
  <mergeCells count="1">
    <mergeCell ref="B19:C19"/>
  </mergeCells>
  <conditionalFormatting sqref="B19:C19">
    <cfRule type="expression" dxfId="0" priority="1">
      <formula>$B$19&lt;&gt;""</formula>
    </cfRule>
  </conditionalFormatting>
  <dataValidations count="3">
    <dataValidation type="list" allowBlank="1" showInputMessage="1" showErrorMessage="1" sqref="C16" xr:uid="{CED49A44-B01D-5948-B780-110C7B34699A}">
      <formula1>"Y,N"</formula1>
    </dataValidation>
    <dataValidation type="time" allowBlank="1" showInputMessage="1" showErrorMessage="1" sqref="C14 C17" xr:uid="{DF2AF176-E1B0-7D4C-8346-15715F6BBC80}">
      <formula1>0.25</formula1>
      <formula2>0.75</formula2>
    </dataValidation>
    <dataValidation type="time" allowBlank="1" showInputMessage="1" showErrorMessage="1" sqref="C15 C18" xr:uid="{A8842B9E-23C7-2C4B-8CF6-8C7F9D912EE7}">
      <formula1>0.25</formula1>
      <formula2>0.791666666666667</formula2>
    </dataValidation>
  </dataValidations>
  <hyperlinks>
    <hyperlink ref="B8" location="Instructions!B15" display="Instructions" xr:uid="{73D69F50-EC94-8F44-A3A4-9B4728E4A3A0}"/>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C730-26AE-E549-BE18-7FB58C5F9118}">
  <dimension ref="B2:AL31"/>
  <sheetViews>
    <sheetView workbookViewId="0">
      <pane ySplit="7" topLeftCell="A8" activePane="bottomLeft" state="frozen"/>
      <selection pane="bottomLeft"/>
    </sheetView>
  </sheetViews>
  <sheetFormatPr defaultColWidth="10.796875" defaultRowHeight="15.6" x14ac:dyDescent="0.3"/>
  <cols>
    <col min="1" max="1" width="3.796875" style="1" customWidth="1"/>
    <col min="2" max="2" width="10.796875" style="1"/>
    <col min="3" max="3" width="7.296875" style="1" customWidth="1"/>
    <col min="4" max="7" width="10.796875" style="1"/>
    <col min="8" max="8" width="8" style="1" bestFit="1" customWidth="1"/>
    <col min="9" max="11" width="7.296875" style="1" bestFit="1" customWidth="1"/>
    <col min="12" max="14" width="10.796875" style="1" hidden="1" customWidth="1"/>
    <col min="15" max="15" width="9.69921875" style="1" bestFit="1" customWidth="1"/>
    <col min="16" max="20" width="10.796875" style="1" customWidth="1"/>
    <col min="21" max="21" width="2.296875" style="1" customWidth="1"/>
    <col min="22" max="23" width="9.296875" style="1" customWidth="1"/>
    <col min="24" max="24" width="9.5" style="1" customWidth="1"/>
    <col min="25" max="25" width="10.796875" style="1" hidden="1" customWidth="1"/>
    <col min="26" max="26" width="10.796875" style="1"/>
    <col min="27" max="28" width="10.796875" style="1" hidden="1" customWidth="1"/>
    <col min="29" max="29" width="9.69921875" style="1" customWidth="1"/>
    <col min="30" max="31" width="0" style="1" hidden="1" customWidth="1"/>
    <col min="32" max="32" width="6" style="1" hidden="1" customWidth="1"/>
    <col min="33" max="34" width="10.796875" style="1" hidden="1" customWidth="1"/>
    <col min="35" max="35" width="10.796875" style="1" customWidth="1"/>
    <col min="36" max="36" width="4.69921875" style="1" customWidth="1"/>
    <col min="37" max="37" width="10.796875" style="1"/>
    <col min="38" max="38" width="15.796875" style="1" customWidth="1"/>
    <col min="39" max="16384" width="10.796875" style="1"/>
  </cols>
  <sheetData>
    <row r="2" spans="2:38" x14ac:dyDescent="0.3">
      <c r="F2" s="2" t="s">
        <v>0</v>
      </c>
      <c r="G2" s="2"/>
      <c r="H2" s="2"/>
    </row>
    <row r="5" spans="2:38" x14ac:dyDescent="0.3">
      <c r="W5" s="10"/>
    </row>
    <row r="7" spans="2:38" ht="43.05" customHeight="1" x14ac:dyDescent="0.7">
      <c r="B7" s="3" t="s">
        <v>45</v>
      </c>
      <c r="H7" s="4"/>
    </row>
    <row r="8" spans="2:38" x14ac:dyDescent="0.3">
      <c r="B8" s="5" t="s">
        <v>11</v>
      </c>
      <c r="D8" s="2" t="s">
        <v>46</v>
      </c>
    </row>
    <row r="9" spans="2:38" x14ac:dyDescent="0.3">
      <c r="D9" s="17">
        <v>40</v>
      </c>
    </row>
    <row r="11" spans="2:38" ht="84" customHeight="1" x14ac:dyDescent="0.3">
      <c r="B11" s="6" t="s">
        <v>47</v>
      </c>
      <c r="C11" s="6" t="s">
        <v>48</v>
      </c>
      <c r="D11" s="6" t="s">
        <v>49</v>
      </c>
      <c r="E11" s="6" t="s">
        <v>31</v>
      </c>
      <c r="F11" s="6" t="s">
        <v>50</v>
      </c>
      <c r="G11" s="6" t="s">
        <v>32</v>
      </c>
      <c r="H11" s="6" t="s">
        <v>33</v>
      </c>
      <c r="I11" s="6" t="s">
        <v>34</v>
      </c>
      <c r="J11" s="6" t="s">
        <v>35</v>
      </c>
      <c r="K11" s="6" t="s">
        <v>12</v>
      </c>
      <c r="L11" s="6" t="s">
        <v>13</v>
      </c>
      <c r="M11" s="6" t="s">
        <v>14</v>
      </c>
      <c r="N11" s="6" t="s">
        <v>15</v>
      </c>
      <c r="O11" s="6" t="s">
        <v>16</v>
      </c>
      <c r="P11" s="6" t="s">
        <v>17</v>
      </c>
      <c r="Q11" s="6" t="s">
        <v>40</v>
      </c>
      <c r="R11" s="6" t="s">
        <v>41</v>
      </c>
      <c r="S11" s="6" t="s">
        <v>18</v>
      </c>
      <c r="T11" s="6" t="s">
        <v>19</v>
      </c>
      <c r="U11" s="6"/>
      <c r="V11" s="6" t="s">
        <v>38</v>
      </c>
      <c r="W11" s="6" t="s">
        <v>39</v>
      </c>
      <c r="X11" s="6" t="s">
        <v>51</v>
      </c>
      <c r="Y11" s="6" t="s">
        <v>21</v>
      </c>
      <c r="Z11" s="6" t="s">
        <v>52</v>
      </c>
      <c r="AA11" s="6" t="s">
        <v>23</v>
      </c>
      <c r="AB11" s="6" t="s">
        <v>24</v>
      </c>
      <c r="AC11" s="6" t="s">
        <v>53</v>
      </c>
      <c r="AD11" s="6" t="s">
        <v>26</v>
      </c>
      <c r="AE11" s="6" t="s">
        <v>27</v>
      </c>
      <c r="AF11" s="6" t="s">
        <v>28</v>
      </c>
      <c r="AG11" s="6" t="s">
        <v>29</v>
      </c>
      <c r="AH11" s="6" t="s">
        <v>30</v>
      </c>
      <c r="AI11" s="6" t="s">
        <v>42</v>
      </c>
      <c r="AK11" s="6" t="s">
        <v>43</v>
      </c>
      <c r="AL11" s="6" t="s">
        <v>44</v>
      </c>
    </row>
    <row r="12" spans="2:38" x14ac:dyDescent="0.3">
      <c r="B12" s="1">
        <v>1</v>
      </c>
      <c r="C12" s="1" t="s">
        <v>54</v>
      </c>
      <c r="D12" s="17" t="s">
        <v>55</v>
      </c>
      <c r="E12" s="18">
        <v>0.85</v>
      </c>
      <c r="F12" s="17">
        <v>36</v>
      </c>
      <c r="G12" s="18">
        <v>0.05</v>
      </c>
      <c r="H12" s="17">
        <v>150</v>
      </c>
      <c r="I12" s="19">
        <v>0.33333333333333331</v>
      </c>
      <c r="J12" s="19">
        <v>0.75</v>
      </c>
      <c r="K12" s="7">
        <f>J12-I12</f>
        <v>0.41666666666666669</v>
      </c>
      <c r="L12" s="8">
        <f>ROUND(HOUR(K12)+MINUTE(K12)/60,4)</f>
        <v>10</v>
      </c>
      <c r="M12" s="9">
        <f t="shared" ref="M12:M21" si="0">IFERROR(H12/L12,0)</f>
        <v>15</v>
      </c>
      <c r="N12" s="9">
        <f t="shared" ref="N12:N21" si="1">ROUND(MIN(M12,hr_rate_cap)*($E12),2)</f>
        <v>12.75</v>
      </c>
      <c r="O12" s="9">
        <f>IF(($F12-L12)&gt;=0,L12,$F12)</f>
        <v>10</v>
      </c>
      <c r="P12" s="10">
        <f>ROUND(O12*N12,4)</f>
        <v>127.5</v>
      </c>
      <c r="Q12" s="10">
        <f>ROUND(P12*$G12,4)</f>
        <v>6.375</v>
      </c>
      <c r="R12" s="11">
        <f>ROUND(P12-Q12,4)</f>
        <v>121.125</v>
      </c>
      <c r="S12" s="11">
        <f>H12-P12</f>
        <v>22.5</v>
      </c>
      <c r="T12" s="10">
        <f>IF(O12=0,0,P12/O12)</f>
        <v>12.75</v>
      </c>
      <c r="V12" s="19">
        <v>0.35416666666666669</v>
      </c>
      <c r="W12" s="19">
        <v>0.51041666666666663</v>
      </c>
      <c r="X12" s="7">
        <f>W12-V12</f>
        <v>0.15624999999999994</v>
      </c>
      <c r="Y12" s="8">
        <f>ROUND(HOUR(X12)+MINUTE(X12)/60,4)</f>
        <v>3.75</v>
      </c>
      <c r="Z12" s="1" t="str">
        <f t="shared" ref="Z12:Z21" si="2">IF(OR(Y12=0,O12=0),"",IF(O12&gt;=L12,"All Hours",IF(AND(O12&lt;&gt;0,Y12&lt;&gt;0),"Part","None")))</f>
        <v>All Hours</v>
      </c>
      <c r="AA12" s="8">
        <f>IF(O12&gt;=L12,Y12,IF(V12&lt;&gt;"",MAX(0,MIN(O12,Y12)-ROUND(HOUR(V12-I12)+MINUTE(V12-I12)/60,4)),0))</f>
        <v>3.75</v>
      </c>
      <c r="AB12" s="8">
        <f t="shared" ref="AB12:AB13" si="3">Y12-AA12</f>
        <v>0</v>
      </c>
      <c r="AC12" s="9">
        <f>IF((kindy_hours-Y12)&gt;=0,Y12,kindy_hours)</f>
        <v>3.75</v>
      </c>
      <c r="AD12" s="12">
        <f t="shared" ref="AD12:AD13" si="4">IF(AC12&gt;=AA12,AA12,MIN(AC12,AA12))</f>
        <v>3.75</v>
      </c>
      <c r="AE12" s="12">
        <f t="shared" ref="AE12:AE13" si="5">IF((AC12-AA12)&gt;=AB12,AB12,MAX(0,(AC12-AA12)))</f>
        <v>0</v>
      </c>
      <c r="AF12" s="12">
        <f>(Y12-SUM(AA12:AB12))+(AC12-SUM(AD12:AE12))</f>
        <v>0</v>
      </c>
      <c r="AG12" s="12">
        <f t="shared" ref="AG12:AG21" si="6">AD12*(M12-T12)</f>
        <v>8.4375</v>
      </c>
      <c r="AH12" s="12">
        <f t="shared" ref="AH12:AH21" si="7">AE12*(M12)</f>
        <v>0</v>
      </c>
      <c r="AI12" s="12">
        <f>SUM(AG12:AH12)</f>
        <v>8.4375</v>
      </c>
      <c r="AK12" s="9">
        <f>S12-AI12</f>
        <v>14.0625</v>
      </c>
      <c r="AL12" s="9">
        <f>(H12-R12)-AI12</f>
        <v>20.4375</v>
      </c>
    </row>
    <row r="13" spans="2:38" x14ac:dyDescent="0.3">
      <c r="B13" s="1">
        <v>1</v>
      </c>
      <c r="C13" s="1" t="s">
        <v>56</v>
      </c>
      <c r="D13" s="17" t="s">
        <v>55</v>
      </c>
      <c r="E13" s="18">
        <v>0.85</v>
      </c>
      <c r="F13" s="17">
        <v>36</v>
      </c>
      <c r="G13" s="18">
        <v>0.05</v>
      </c>
      <c r="H13" s="17">
        <v>150</v>
      </c>
      <c r="I13" s="19">
        <v>0.33333333333333331</v>
      </c>
      <c r="J13" s="19">
        <v>0.75</v>
      </c>
      <c r="K13" s="7">
        <f>J13-I13</f>
        <v>0.41666666666666669</v>
      </c>
      <c r="L13" s="8">
        <f>ROUND(HOUR(K13)+MINUTE(K13)/60,4)</f>
        <v>10</v>
      </c>
      <c r="M13" s="9">
        <f t="shared" si="0"/>
        <v>15</v>
      </c>
      <c r="N13" s="9">
        <f t="shared" si="1"/>
        <v>12.75</v>
      </c>
      <c r="O13" s="9">
        <f>IF(F13-(SUMIFS($O$12:O12,$D$12:D12,$D13)+L13)&gt;=0,L13,F13-(SUMIFS($O$12:O12,$D$12:D12,$D13)))</f>
        <v>10</v>
      </c>
      <c r="P13" s="10">
        <f>ROUND(O13*N13,4)</f>
        <v>127.5</v>
      </c>
      <c r="Q13" s="10">
        <f t="shared" ref="Q13:Q21" si="8">ROUND(P13*$G13,4)</f>
        <v>6.375</v>
      </c>
      <c r="R13" s="11">
        <f t="shared" ref="R13:R21" si="9">ROUND(P13-Q13,4)</f>
        <v>121.125</v>
      </c>
      <c r="S13" s="11">
        <f t="shared" ref="S13:S21" si="10">H13-P13</f>
        <v>22.5</v>
      </c>
      <c r="T13" s="10">
        <f t="shared" ref="T13:T21" si="11">IF(O13=0,0,P13/O13)</f>
        <v>12.75</v>
      </c>
      <c r="V13" s="19">
        <v>0.35416666666666669</v>
      </c>
      <c r="W13" s="19">
        <v>0.51041666666666663</v>
      </c>
      <c r="X13" s="7">
        <f t="shared" ref="X13:X16" si="12">W13-V13</f>
        <v>0.15624999999999994</v>
      </c>
      <c r="Y13" s="8">
        <f t="shared" ref="Y13:Y21" si="13">ROUND(HOUR(X13)+MINUTE(X13)/60,4)</f>
        <v>3.75</v>
      </c>
      <c r="Z13" s="1" t="str">
        <f t="shared" si="2"/>
        <v>All Hours</v>
      </c>
      <c r="AA13" s="8">
        <f t="shared" ref="AA13:AA21" si="14">IF(O13&gt;=L13,Y13,IF(V13&lt;&gt;"",MAX(0,MIN(O13,Y13)-ROUND(HOUR(V13-I13)+MINUTE(V13-I13)/60,4)),0))</f>
        <v>3.75</v>
      </c>
      <c r="AB13" s="8">
        <f t="shared" si="3"/>
        <v>0</v>
      </c>
      <c r="AC13" s="9">
        <f>IF((kindy_hours-SUM($AC$12:AC12)-Y13)&gt;=0,Y13,kindy_hours-SUM($AC$12:AC12))</f>
        <v>3.75</v>
      </c>
      <c r="AD13" s="12">
        <f t="shared" si="4"/>
        <v>3.75</v>
      </c>
      <c r="AE13" s="12">
        <f t="shared" si="5"/>
        <v>0</v>
      </c>
      <c r="AF13" s="12">
        <f t="shared" ref="AF13:AF14" si="15">(Y13-SUM(AA13:AB13))+(AC13-SUM(AD13:AE13))</f>
        <v>0</v>
      </c>
      <c r="AG13" s="12">
        <f t="shared" si="6"/>
        <v>8.4375</v>
      </c>
      <c r="AH13" s="12">
        <f t="shared" si="7"/>
        <v>0</v>
      </c>
      <c r="AI13" s="12">
        <f t="shared" ref="AI13:AI14" si="16">SUM(AG13:AH13)</f>
        <v>8.4375</v>
      </c>
      <c r="AK13" s="9">
        <f t="shared" ref="AK13:AK21" si="17">S13-AI13</f>
        <v>14.0625</v>
      </c>
      <c r="AL13" s="9">
        <f t="shared" ref="AL13:AL21" si="18">(H13-R13)-AI13</f>
        <v>20.4375</v>
      </c>
    </row>
    <row r="14" spans="2:38" x14ac:dyDescent="0.3">
      <c r="B14" s="1">
        <v>1</v>
      </c>
      <c r="C14" s="1" t="s">
        <v>57</v>
      </c>
      <c r="D14" s="17" t="s">
        <v>55</v>
      </c>
      <c r="E14" s="18">
        <v>0.85</v>
      </c>
      <c r="F14" s="17">
        <v>36</v>
      </c>
      <c r="G14" s="18">
        <v>0.05</v>
      </c>
      <c r="H14" s="17">
        <v>150</v>
      </c>
      <c r="I14" s="19">
        <v>0.33333333333333331</v>
      </c>
      <c r="J14" s="19">
        <v>0.75</v>
      </c>
      <c r="K14" s="7">
        <f>J14-I14</f>
        <v>0.41666666666666669</v>
      </c>
      <c r="L14" s="8">
        <f>ROUND(HOUR(K14)+MINUTE(K14)/60,4)</f>
        <v>10</v>
      </c>
      <c r="M14" s="9">
        <f t="shared" si="0"/>
        <v>15</v>
      </c>
      <c r="N14" s="9">
        <f t="shared" si="1"/>
        <v>12.75</v>
      </c>
      <c r="O14" s="9">
        <f>IF(F14-(SUMIFS($O$12:O13,$D$12:D13,$D14)+L14)&gt;=0,L14,F14-(SUMIFS($O$12:O13,$D$12:D13,$D14)))</f>
        <v>10</v>
      </c>
      <c r="P14" s="10">
        <f>ROUND(O14*N14,4)</f>
        <v>127.5</v>
      </c>
      <c r="Q14" s="10">
        <f t="shared" si="8"/>
        <v>6.375</v>
      </c>
      <c r="R14" s="11">
        <f t="shared" si="9"/>
        <v>121.125</v>
      </c>
      <c r="S14" s="11">
        <f t="shared" si="10"/>
        <v>22.5</v>
      </c>
      <c r="T14" s="10">
        <f t="shared" si="11"/>
        <v>12.75</v>
      </c>
      <c r="V14" s="19"/>
      <c r="W14" s="19"/>
      <c r="X14" s="7">
        <f t="shared" si="12"/>
        <v>0</v>
      </c>
      <c r="Y14" s="8">
        <f t="shared" si="13"/>
        <v>0</v>
      </c>
      <c r="Z14" s="1" t="str">
        <f t="shared" si="2"/>
        <v/>
      </c>
      <c r="AA14" s="8">
        <f t="shared" si="14"/>
        <v>0</v>
      </c>
      <c r="AB14" s="8">
        <f>Y14-AA14</f>
        <v>0</v>
      </c>
      <c r="AC14" s="9">
        <f>IF((kindy_hours-SUM($AC$12:AC13)-Y14)&gt;=0,Y14,kindy_hours-SUM($AC$12:AC13))</f>
        <v>0</v>
      </c>
      <c r="AD14" s="12">
        <f>IF(AC14&gt;=AA14,AA14,MIN(AC14,AA14))</f>
        <v>0</v>
      </c>
      <c r="AE14" s="12">
        <f>IF((AC14-AA14)&gt;=AB14,AB14,MAX(0,(AC14-AA14)))</f>
        <v>0</v>
      </c>
      <c r="AF14" s="12">
        <f t="shared" si="15"/>
        <v>0</v>
      </c>
      <c r="AG14" s="12">
        <f t="shared" si="6"/>
        <v>0</v>
      </c>
      <c r="AH14" s="12">
        <f t="shared" si="7"/>
        <v>0</v>
      </c>
      <c r="AI14" s="12">
        <f t="shared" si="16"/>
        <v>0</v>
      </c>
      <c r="AK14" s="9">
        <f t="shared" si="17"/>
        <v>22.5</v>
      </c>
      <c r="AL14" s="9">
        <f t="shared" si="18"/>
        <v>28.875</v>
      </c>
    </row>
    <row r="15" spans="2:38" x14ac:dyDescent="0.3">
      <c r="B15" s="1">
        <v>1</v>
      </c>
      <c r="C15" s="1" t="s">
        <v>58</v>
      </c>
      <c r="D15" s="17"/>
      <c r="E15" s="18"/>
      <c r="F15" s="17"/>
      <c r="G15" s="17"/>
      <c r="H15" s="17"/>
      <c r="I15" s="19"/>
      <c r="J15" s="19"/>
      <c r="K15" s="7">
        <f t="shared" ref="K15:K21" si="19">J15-I15</f>
        <v>0</v>
      </c>
      <c r="L15" s="8">
        <f t="shared" ref="L15:L21" si="20">ROUND(HOUR(K15)+MINUTE(K15)/60,4)</f>
        <v>0</v>
      </c>
      <c r="M15" s="9">
        <f t="shared" si="0"/>
        <v>0</v>
      </c>
      <c r="N15" s="9">
        <f t="shared" si="1"/>
        <v>0</v>
      </c>
      <c r="O15" s="9">
        <f>IF(F15-(SUMIFS($O$12:O14,$D$12:D14,$D15)+L15)&gt;=0,L15,F15-(SUMIFS($O$12:O14,$D$12:D14,$D15)))</f>
        <v>0</v>
      </c>
      <c r="P15" s="10">
        <f t="shared" ref="P15:P21" si="21">ROUND(O15*N15,4)</f>
        <v>0</v>
      </c>
      <c r="Q15" s="10">
        <f t="shared" si="8"/>
        <v>0</v>
      </c>
      <c r="R15" s="11">
        <f t="shared" si="9"/>
        <v>0</v>
      </c>
      <c r="S15" s="11">
        <f t="shared" si="10"/>
        <v>0</v>
      </c>
      <c r="T15" s="10">
        <f t="shared" si="11"/>
        <v>0</v>
      </c>
      <c r="V15" s="19"/>
      <c r="W15" s="19"/>
      <c r="X15" s="7">
        <f t="shared" si="12"/>
        <v>0</v>
      </c>
      <c r="Y15" s="8">
        <f t="shared" si="13"/>
        <v>0</v>
      </c>
      <c r="Z15" s="1" t="str">
        <f t="shared" si="2"/>
        <v/>
      </c>
      <c r="AA15" s="8">
        <f t="shared" si="14"/>
        <v>0</v>
      </c>
      <c r="AB15" s="8">
        <f t="shared" ref="AB15:AB21" si="22">Y15-AA15</f>
        <v>0</v>
      </c>
      <c r="AC15" s="9">
        <f>IF((kindy_hours-SUM($AC$12:AC14)-Y15)&gt;=0,Y15,kindy_hours-SUM($AC$12:AC14))</f>
        <v>0</v>
      </c>
      <c r="AD15" s="12">
        <f t="shared" ref="AD15:AD21" si="23">IF(AC15&gt;=AA15,AA15,MIN(AC15,AA15))</f>
        <v>0</v>
      </c>
      <c r="AE15" s="12">
        <f t="shared" ref="AE15:AE21" si="24">IF((AC15-AA15)&gt;=AB15,AB15,MAX(0,(AC15-AA15)))</f>
        <v>0</v>
      </c>
      <c r="AF15" s="12">
        <f t="shared" ref="AF15:AF21" si="25">(Y15-SUM(AA15:AB15))+(AC15-SUM(AD15:AE15))</f>
        <v>0</v>
      </c>
      <c r="AG15" s="12">
        <f t="shared" si="6"/>
        <v>0</v>
      </c>
      <c r="AH15" s="12">
        <f t="shared" si="7"/>
        <v>0</v>
      </c>
      <c r="AI15" s="12">
        <f t="shared" ref="AI15:AI21" si="26">SUM(AG15:AH15)</f>
        <v>0</v>
      </c>
      <c r="AK15" s="9">
        <f t="shared" si="17"/>
        <v>0</v>
      </c>
      <c r="AL15" s="9">
        <f t="shared" si="18"/>
        <v>0</v>
      </c>
    </row>
    <row r="16" spans="2:38" x14ac:dyDescent="0.3">
      <c r="B16" s="1">
        <v>1</v>
      </c>
      <c r="C16" s="1" t="s">
        <v>59</v>
      </c>
      <c r="D16" s="17"/>
      <c r="E16" s="18"/>
      <c r="F16" s="17"/>
      <c r="G16" s="17"/>
      <c r="H16" s="17"/>
      <c r="I16" s="19"/>
      <c r="J16" s="19"/>
      <c r="K16" s="7">
        <f t="shared" si="19"/>
        <v>0</v>
      </c>
      <c r="L16" s="8">
        <f t="shared" si="20"/>
        <v>0</v>
      </c>
      <c r="M16" s="9">
        <f t="shared" si="0"/>
        <v>0</v>
      </c>
      <c r="N16" s="9">
        <f t="shared" si="1"/>
        <v>0</v>
      </c>
      <c r="O16" s="9">
        <f>IF(F16-(SUMIFS($O$12:O15,$D$12:D15,$D16)+L16)&gt;=0,L16,F16-(SUMIFS($O$12:O15,$D$12:D15,$D16)))</f>
        <v>0</v>
      </c>
      <c r="P16" s="10">
        <f t="shared" si="21"/>
        <v>0</v>
      </c>
      <c r="Q16" s="10">
        <f t="shared" si="8"/>
        <v>0</v>
      </c>
      <c r="R16" s="11">
        <f t="shared" si="9"/>
        <v>0</v>
      </c>
      <c r="S16" s="11">
        <f t="shared" si="10"/>
        <v>0</v>
      </c>
      <c r="T16" s="10">
        <f t="shared" si="11"/>
        <v>0</v>
      </c>
      <c r="V16" s="19"/>
      <c r="W16" s="19"/>
      <c r="X16" s="7">
        <f t="shared" si="12"/>
        <v>0</v>
      </c>
      <c r="Y16" s="8">
        <f t="shared" si="13"/>
        <v>0</v>
      </c>
      <c r="Z16" s="1" t="str">
        <f t="shared" si="2"/>
        <v/>
      </c>
      <c r="AA16" s="8">
        <f t="shared" si="14"/>
        <v>0</v>
      </c>
      <c r="AB16" s="8">
        <f t="shared" si="22"/>
        <v>0</v>
      </c>
      <c r="AC16" s="9">
        <f>IF((kindy_hours-SUM($AC$12:AC15)-Y16)&gt;=0,Y16,kindy_hours-SUM($AC$12:AC15))</f>
        <v>0</v>
      </c>
      <c r="AD16" s="12">
        <f t="shared" si="23"/>
        <v>0</v>
      </c>
      <c r="AE16" s="12">
        <f t="shared" si="24"/>
        <v>0</v>
      </c>
      <c r="AF16" s="12">
        <f t="shared" si="25"/>
        <v>0</v>
      </c>
      <c r="AG16" s="12">
        <f t="shared" si="6"/>
        <v>0</v>
      </c>
      <c r="AH16" s="12">
        <f t="shared" si="7"/>
        <v>0</v>
      </c>
      <c r="AI16" s="12">
        <f t="shared" si="26"/>
        <v>0</v>
      </c>
      <c r="AK16" s="9">
        <f t="shared" si="17"/>
        <v>0</v>
      </c>
      <c r="AL16" s="9">
        <f t="shared" si="18"/>
        <v>0</v>
      </c>
    </row>
    <row r="17" spans="2:38" x14ac:dyDescent="0.3">
      <c r="B17" s="1">
        <v>2</v>
      </c>
      <c r="C17" s="1" t="s">
        <v>54</v>
      </c>
      <c r="D17" s="17" t="s">
        <v>55</v>
      </c>
      <c r="E17" s="18">
        <v>0.85</v>
      </c>
      <c r="F17" s="17">
        <v>36</v>
      </c>
      <c r="G17" s="18">
        <v>0.05</v>
      </c>
      <c r="H17" s="17">
        <v>150</v>
      </c>
      <c r="I17" s="19">
        <v>0.33333333333333331</v>
      </c>
      <c r="J17" s="19">
        <v>0.75</v>
      </c>
      <c r="K17" s="7">
        <f t="shared" si="19"/>
        <v>0.41666666666666669</v>
      </c>
      <c r="L17" s="8">
        <f t="shared" si="20"/>
        <v>10</v>
      </c>
      <c r="M17" s="9">
        <f t="shared" si="0"/>
        <v>15</v>
      </c>
      <c r="N17" s="9">
        <f t="shared" si="1"/>
        <v>12.75</v>
      </c>
      <c r="O17" s="9">
        <f>IF(F17-(SUMIFS($O$12:O16,$D$12:D16,$D17)+L17)&gt;=0,L17,F17-(SUMIFS($O$12:O16,$D$12:D16,$D17)))</f>
        <v>6</v>
      </c>
      <c r="P17" s="10">
        <f t="shared" si="21"/>
        <v>76.5</v>
      </c>
      <c r="Q17" s="10">
        <f t="shared" si="8"/>
        <v>3.8250000000000002</v>
      </c>
      <c r="R17" s="11">
        <f t="shared" si="9"/>
        <v>72.674999999999997</v>
      </c>
      <c r="S17" s="11">
        <f t="shared" si="10"/>
        <v>73.5</v>
      </c>
      <c r="T17" s="10">
        <f t="shared" si="11"/>
        <v>12.75</v>
      </c>
      <c r="V17" s="19">
        <v>0.35416666666666669</v>
      </c>
      <c r="W17" s="19">
        <v>0.51041666666666663</v>
      </c>
      <c r="X17" s="7">
        <f t="shared" ref="X17:X21" si="27">W17-V17</f>
        <v>0.15624999999999994</v>
      </c>
      <c r="Y17" s="8">
        <f t="shared" si="13"/>
        <v>3.75</v>
      </c>
      <c r="Z17" s="1" t="str">
        <f t="shared" si="2"/>
        <v>Part</v>
      </c>
      <c r="AA17" s="8">
        <f t="shared" si="14"/>
        <v>3.25</v>
      </c>
      <c r="AB17" s="8">
        <f t="shared" si="22"/>
        <v>0.5</v>
      </c>
      <c r="AC17" s="9">
        <f>IF((kindy_hours-Y17)&gt;=0,Y17,kindy_hours)</f>
        <v>3.75</v>
      </c>
      <c r="AD17" s="12">
        <f t="shared" si="23"/>
        <v>3.25</v>
      </c>
      <c r="AE17" s="12">
        <f t="shared" si="24"/>
        <v>0.5</v>
      </c>
      <c r="AF17" s="12">
        <f t="shared" si="25"/>
        <v>0</v>
      </c>
      <c r="AG17" s="12">
        <f t="shared" si="6"/>
        <v>7.3125</v>
      </c>
      <c r="AH17" s="12">
        <f t="shared" si="7"/>
        <v>7.5</v>
      </c>
      <c r="AI17" s="12">
        <f t="shared" si="26"/>
        <v>14.8125</v>
      </c>
      <c r="AK17" s="9">
        <f t="shared" si="17"/>
        <v>58.6875</v>
      </c>
      <c r="AL17" s="9">
        <f t="shared" si="18"/>
        <v>62.512500000000003</v>
      </c>
    </row>
    <row r="18" spans="2:38" x14ac:dyDescent="0.3">
      <c r="B18" s="1">
        <v>2</v>
      </c>
      <c r="C18" s="1" t="s">
        <v>56</v>
      </c>
      <c r="D18" s="17" t="s">
        <v>55</v>
      </c>
      <c r="E18" s="18">
        <v>0.85</v>
      </c>
      <c r="F18" s="17">
        <v>36</v>
      </c>
      <c r="G18" s="18">
        <v>0.05</v>
      </c>
      <c r="H18" s="17">
        <v>150</v>
      </c>
      <c r="I18" s="19">
        <v>0.33333333333333331</v>
      </c>
      <c r="J18" s="19">
        <v>0.75</v>
      </c>
      <c r="K18" s="7">
        <f t="shared" si="19"/>
        <v>0.41666666666666669</v>
      </c>
      <c r="L18" s="8">
        <f t="shared" si="20"/>
        <v>10</v>
      </c>
      <c r="M18" s="9">
        <f t="shared" si="0"/>
        <v>15</v>
      </c>
      <c r="N18" s="9">
        <f t="shared" si="1"/>
        <v>12.75</v>
      </c>
      <c r="O18" s="9">
        <f>IF(F18-(SUMIFS($O$12:O17,$D$12:D17,$D18)+L18)&gt;=0,L18,F18-(SUMIFS($O$12:O17,$D$12:D17,$D18)))</f>
        <v>0</v>
      </c>
      <c r="P18" s="10">
        <f t="shared" si="21"/>
        <v>0</v>
      </c>
      <c r="Q18" s="10">
        <f t="shared" si="8"/>
        <v>0</v>
      </c>
      <c r="R18" s="11">
        <f t="shared" si="9"/>
        <v>0</v>
      </c>
      <c r="S18" s="11">
        <f t="shared" si="10"/>
        <v>150</v>
      </c>
      <c r="T18" s="10">
        <f t="shared" si="11"/>
        <v>0</v>
      </c>
      <c r="V18" s="19">
        <v>0.375</v>
      </c>
      <c r="W18" s="19">
        <v>0.58333333333333337</v>
      </c>
      <c r="X18" s="7">
        <f t="shared" si="27"/>
        <v>0.20833333333333337</v>
      </c>
      <c r="Y18" s="8">
        <f t="shared" si="13"/>
        <v>5</v>
      </c>
      <c r="Z18" s="1" t="str">
        <f t="shared" si="2"/>
        <v/>
      </c>
      <c r="AA18" s="8">
        <f t="shared" si="14"/>
        <v>0</v>
      </c>
      <c r="AB18" s="8">
        <f t="shared" si="22"/>
        <v>5</v>
      </c>
      <c r="AC18" s="9">
        <f>IF((kindy_hours-SUM($AC$17:AC17)-Y18)&gt;=0,Y18,kindy_hours-SUM($AC$17:AC17))</f>
        <v>3.75</v>
      </c>
      <c r="AD18" s="12">
        <f t="shared" si="23"/>
        <v>0</v>
      </c>
      <c r="AE18" s="12">
        <f t="shared" si="24"/>
        <v>3.75</v>
      </c>
      <c r="AF18" s="12">
        <f t="shared" si="25"/>
        <v>0</v>
      </c>
      <c r="AG18" s="12">
        <f t="shared" si="6"/>
        <v>0</v>
      </c>
      <c r="AH18" s="12">
        <f t="shared" si="7"/>
        <v>56.25</v>
      </c>
      <c r="AI18" s="12">
        <f t="shared" si="26"/>
        <v>56.25</v>
      </c>
      <c r="AK18" s="9">
        <f t="shared" si="17"/>
        <v>93.75</v>
      </c>
      <c r="AL18" s="9">
        <f t="shared" si="18"/>
        <v>93.75</v>
      </c>
    </row>
    <row r="19" spans="2:38" x14ac:dyDescent="0.3">
      <c r="B19" s="1">
        <v>2</v>
      </c>
      <c r="C19" s="1" t="s">
        <v>57</v>
      </c>
      <c r="D19" s="17"/>
      <c r="E19" s="18"/>
      <c r="F19" s="17"/>
      <c r="G19" s="17"/>
      <c r="H19" s="17"/>
      <c r="I19" s="19"/>
      <c r="J19" s="19"/>
      <c r="K19" s="7">
        <f t="shared" si="19"/>
        <v>0</v>
      </c>
      <c r="L19" s="8">
        <f t="shared" si="20"/>
        <v>0</v>
      </c>
      <c r="M19" s="9">
        <f t="shared" si="0"/>
        <v>0</v>
      </c>
      <c r="N19" s="9">
        <f t="shared" si="1"/>
        <v>0</v>
      </c>
      <c r="O19" s="9">
        <f>IF(F19-(SUMIFS($O$12:O18,$D$12:D18,$D19)+L19)&gt;=0,L19,F19-(SUMIFS($O$12:O18,$D$12:D18,$D19)))</f>
        <v>0</v>
      </c>
      <c r="P19" s="10">
        <f t="shared" si="21"/>
        <v>0</v>
      </c>
      <c r="Q19" s="10">
        <f t="shared" si="8"/>
        <v>0</v>
      </c>
      <c r="R19" s="11">
        <f t="shared" si="9"/>
        <v>0</v>
      </c>
      <c r="S19" s="11">
        <f t="shared" si="10"/>
        <v>0</v>
      </c>
      <c r="T19" s="10">
        <f t="shared" si="11"/>
        <v>0</v>
      </c>
      <c r="V19" s="19"/>
      <c r="W19" s="19"/>
      <c r="X19" s="7">
        <f t="shared" si="27"/>
        <v>0</v>
      </c>
      <c r="Y19" s="8">
        <f t="shared" si="13"/>
        <v>0</v>
      </c>
      <c r="Z19" s="1" t="str">
        <f t="shared" si="2"/>
        <v/>
      </c>
      <c r="AA19" s="8">
        <f t="shared" si="14"/>
        <v>0</v>
      </c>
      <c r="AB19" s="8">
        <f t="shared" si="22"/>
        <v>0</v>
      </c>
      <c r="AC19" s="9">
        <f>IF((kindy_hours-SUM($AC$17:AC18)-Y19)&gt;=0,Y19,kindy_hours-SUM($AC$17:AC18))</f>
        <v>0</v>
      </c>
      <c r="AD19" s="12">
        <f t="shared" si="23"/>
        <v>0</v>
      </c>
      <c r="AE19" s="12">
        <f t="shared" si="24"/>
        <v>0</v>
      </c>
      <c r="AF19" s="12">
        <f t="shared" si="25"/>
        <v>0</v>
      </c>
      <c r="AG19" s="12">
        <f t="shared" si="6"/>
        <v>0</v>
      </c>
      <c r="AH19" s="12">
        <f t="shared" si="7"/>
        <v>0</v>
      </c>
      <c r="AI19" s="12">
        <f t="shared" si="26"/>
        <v>0</v>
      </c>
      <c r="AK19" s="9">
        <f t="shared" si="17"/>
        <v>0</v>
      </c>
      <c r="AL19" s="9">
        <f t="shared" si="18"/>
        <v>0</v>
      </c>
    </row>
    <row r="20" spans="2:38" x14ac:dyDescent="0.3">
      <c r="B20" s="1">
        <v>2</v>
      </c>
      <c r="C20" s="1" t="s">
        <v>58</v>
      </c>
      <c r="D20" s="17"/>
      <c r="E20" s="18"/>
      <c r="F20" s="17"/>
      <c r="G20" s="17"/>
      <c r="H20" s="17"/>
      <c r="I20" s="19"/>
      <c r="J20" s="19"/>
      <c r="K20" s="7">
        <f t="shared" si="19"/>
        <v>0</v>
      </c>
      <c r="L20" s="8">
        <f t="shared" si="20"/>
        <v>0</v>
      </c>
      <c r="M20" s="9">
        <f t="shared" si="0"/>
        <v>0</v>
      </c>
      <c r="N20" s="9">
        <f t="shared" si="1"/>
        <v>0</v>
      </c>
      <c r="O20" s="9">
        <f>IF(F20-(SUMIFS($O$12:O19,$D$12:D19,$D20)+L20)&gt;=0,L20,F20-(SUMIFS($O$12:O19,$D$12:D19,$D20)))</f>
        <v>0</v>
      </c>
      <c r="P20" s="10">
        <f t="shared" si="21"/>
        <v>0</v>
      </c>
      <c r="Q20" s="10">
        <f t="shared" si="8"/>
        <v>0</v>
      </c>
      <c r="R20" s="11">
        <f t="shared" si="9"/>
        <v>0</v>
      </c>
      <c r="S20" s="11">
        <f t="shared" si="10"/>
        <v>0</v>
      </c>
      <c r="T20" s="10">
        <f t="shared" si="11"/>
        <v>0</v>
      </c>
      <c r="V20" s="19"/>
      <c r="W20" s="19"/>
      <c r="X20" s="7">
        <f t="shared" si="27"/>
        <v>0</v>
      </c>
      <c r="Y20" s="8">
        <f t="shared" si="13"/>
        <v>0</v>
      </c>
      <c r="Z20" s="1" t="str">
        <f t="shared" si="2"/>
        <v/>
      </c>
      <c r="AA20" s="8">
        <f t="shared" si="14"/>
        <v>0</v>
      </c>
      <c r="AB20" s="8">
        <f t="shared" si="22"/>
        <v>0</v>
      </c>
      <c r="AC20" s="9">
        <f>IF((kindy_hours-SUM($AC$17:AC19)-Y20)&gt;=0,Y20,kindy_hours-SUM($AC$17:AC19))</f>
        <v>0</v>
      </c>
      <c r="AD20" s="12">
        <f t="shared" si="23"/>
        <v>0</v>
      </c>
      <c r="AE20" s="12">
        <f t="shared" si="24"/>
        <v>0</v>
      </c>
      <c r="AF20" s="12">
        <f t="shared" si="25"/>
        <v>0</v>
      </c>
      <c r="AG20" s="12">
        <f t="shared" si="6"/>
        <v>0</v>
      </c>
      <c r="AH20" s="12">
        <f t="shared" si="7"/>
        <v>0</v>
      </c>
      <c r="AI20" s="12">
        <f t="shared" si="26"/>
        <v>0</v>
      </c>
      <c r="AK20" s="9">
        <f t="shared" si="17"/>
        <v>0</v>
      </c>
      <c r="AL20" s="9">
        <f t="shared" si="18"/>
        <v>0</v>
      </c>
    </row>
    <row r="21" spans="2:38" x14ac:dyDescent="0.3">
      <c r="B21" s="1">
        <v>2</v>
      </c>
      <c r="C21" s="1" t="s">
        <v>59</v>
      </c>
      <c r="D21" s="17"/>
      <c r="E21" s="18"/>
      <c r="F21" s="17"/>
      <c r="G21" s="17"/>
      <c r="H21" s="17"/>
      <c r="I21" s="19"/>
      <c r="J21" s="19"/>
      <c r="K21" s="7">
        <f t="shared" si="19"/>
        <v>0</v>
      </c>
      <c r="L21" s="8">
        <f t="shared" si="20"/>
        <v>0</v>
      </c>
      <c r="M21" s="9">
        <f t="shared" si="0"/>
        <v>0</v>
      </c>
      <c r="N21" s="9">
        <f t="shared" si="1"/>
        <v>0</v>
      </c>
      <c r="O21" s="9">
        <f>IF(F21-(SUMIFS($O$12:O20,$D$12:D20,$D21)+L21)&gt;=0,L21,F21-(SUMIFS($O$12:O20,$D$12:D20,$D21)))</f>
        <v>0</v>
      </c>
      <c r="P21" s="10">
        <f t="shared" si="21"/>
        <v>0</v>
      </c>
      <c r="Q21" s="10">
        <f t="shared" si="8"/>
        <v>0</v>
      </c>
      <c r="R21" s="11">
        <f t="shared" si="9"/>
        <v>0</v>
      </c>
      <c r="S21" s="11">
        <f t="shared" si="10"/>
        <v>0</v>
      </c>
      <c r="T21" s="10">
        <f t="shared" si="11"/>
        <v>0</v>
      </c>
      <c r="V21" s="19"/>
      <c r="W21" s="19"/>
      <c r="X21" s="7">
        <f t="shared" si="27"/>
        <v>0</v>
      </c>
      <c r="Y21" s="8">
        <f t="shared" si="13"/>
        <v>0</v>
      </c>
      <c r="Z21" s="1" t="str">
        <f t="shared" si="2"/>
        <v/>
      </c>
      <c r="AA21" s="8">
        <f t="shared" si="14"/>
        <v>0</v>
      </c>
      <c r="AB21" s="8">
        <f t="shared" si="22"/>
        <v>0</v>
      </c>
      <c r="AC21" s="9">
        <f>IF((kindy_hours-SUM($AC$17:AC20)-Y21)&gt;=0,Y21,kindy_hours-SUM($AC$17:AC20))</f>
        <v>0</v>
      </c>
      <c r="AD21" s="12">
        <f t="shared" si="23"/>
        <v>0</v>
      </c>
      <c r="AE21" s="12">
        <f t="shared" si="24"/>
        <v>0</v>
      </c>
      <c r="AF21" s="12">
        <f t="shared" si="25"/>
        <v>0</v>
      </c>
      <c r="AG21" s="12">
        <f t="shared" si="6"/>
        <v>0</v>
      </c>
      <c r="AH21" s="12">
        <f t="shared" si="7"/>
        <v>0</v>
      </c>
      <c r="AI21" s="12">
        <f t="shared" si="26"/>
        <v>0</v>
      </c>
      <c r="AK21" s="9">
        <f t="shared" si="17"/>
        <v>0</v>
      </c>
      <c r="AL21" s="9">
        <f t="shared" si="18"/>
        <v>0</v>
      </c>
    </row>
    <row r="22" spans="2:38" s="13" customFormat="1" x14ac:dyDescent="0.3"/>
    <row r="24" spans="2:38" x14ac:dyDescent="0.3">
      <c r="B24" s="1">
        <v>1</v>
      </c>
      <c r="C24" s="1" t="s">
        <v>60</v>
      </c>
      <c r="H24" s="11">
        <f>SUMIFS(H$12:H$21,$B$12:$B$21,$B24)</f>
        <v>450</v>
      </c>
      <c r="I24" s="11"/>
      <c r="J24" s="11"/>
      <c r="K24" s="11"/>
      <c r="L24" s="11"/>
      <c r="M24" s="11"/>
      <c r="N24" s="11"/>
      <c r="O24" s="11"/>
      <c r="P24" s="11">
        <f t="shared" ref="P24:S25" si="28">SUMIFS(P$12:P$21,$B$12:$B$21,$B24)</f>
        <v>382.5</v>
      </c>
      <c r="Q24" s="11">
        <f t="shared" si="28"/>
        <v>19.125</v>
      </c>
      <c r="R24" s="11">
        <f t="shared" si="28"/>
        <v>363.375</v>
      </c>
      <c r="S24" s="11">
        <f t="shared" si="28"/>
        <v>67.5</v>
      </c>
      <c r="T24" s="11"/>
      <c r="U24" s="11"/>
      <c r="V24" s="11"/>
      <c r="W24" s="11"/>
      <c r="X24" s="11"/>
      <c r="Y24" s="11"/>
      <c r="Z24" s="11"/>
      <c r="AA24" s="11">
        <f>SUMIFS(AA$12:AA$21,$B$12:$B$21,$B24)</f>
        <v>7.5</v>
      </c>
      <c r="AB24" s="11">
        <f>SUMIFS(AB$12:AB$21,$B$12:$B$21,$B24)</f>
        <v>0</v>
      </c>
      <c r="AC24" s="11"/>
      <c r="AD24" s="11">
        <f>SUMIFS(AD$12:AD$21,$B$12:$B$21,$B24)</f>
        <v>7.5</v>
      </c>
      <c r="AE24" s="11">
        <f>SUMIFS(AE$12:AE$21,$B$12:$B$21,$B24)</f>
        <v>0</v>
      </c>
      <c r="AF24" s="11"/>
      <c r="AG24" s="11">
        <f t="shared" ref="AG24:AI25" si="29">SUMIFS(AG$12:AG$21,$B$12:$B$21,$B24)</f>
        <v>16.875</v>
      </c>
      <c r="AH24" s="11">
        <f t="shared" si="29"/>
        <v>0</v>
      </c>
      <c r="AI24" s="11">
        <f t="shared" si="29"/>
        <v>16.875</v>
      </c>
      <c r="AJ24" s="11"/>
      <c r="AK24" s="11">
        <f>SUMIFS(AK$12:AK$21,$B$12:$B$21,$B24)</f>
        <v>50.625</v>
      </c>
      <c r="AL24" s="11">
        <f>SUMIFS(AL$12:AL$21,$B$12:$B$21,$B24)</f>
        <v>69.75</v>
      </c>
    </row>
    <row r="25" spans="2:38" x14ac:dyDescent="0.3">
      <c r="B25" s="1">
        <v>2</v>
      </c>
      <c r="C25" s="1" t="s">
        <v>61</v>
      </c>
      <c r="H25" s="11">
        <f>SUMIFS(H$12:H$21,$B$12:$B$21,$B25)</f>
        <v>300</v>
      </c>
      <c r="I25" s="11"/>
      <c r="J25" s="11"/>
      <c r="K25" s="11"/>
      <c r="L25" s="11"/>
      <c r="M25" s="11"/>
      <c r="N25" s="11"/>
      <c r="O25" s="11"/>
      <c r="P25" s="11">
        <f t="shared" si="28"/>
        <v>76.5</v>
      </c>
      <c r="Q25" s="11">
        <f t="shared" si="28"/>
        <v>3.8250000000000002</v>
      </c>
      <c r="R25" s="11">
        <f t="shared" si="28"/>
        <v>72.674999999999997</v>
      </c>
      <c r="S25" s="11">
        <f t="shared" si="28"/>
        <v>223.5</v>
      </c>
      <c r="T25" s="11"/>
      <c r="U25" s="11"/>
      <c r="V25" s="11"/>
      <c r="W25" s="11"/>
      <c r="X25" s="11"/>
      <c r="Y25" s="11"/>
      <c r="Z25" s="11"/>
      <c r="AA25" s="11">
        <f>SUMIFS(AA$12:AA$21,$B$12:$B$21,$B25)</f>
        <v>3.25</v>
      </c>
      <c r="AB25" s="11">
        <f>SUMIFS(AB$12:AB$21,$B$12:$B$21,$B25)</f>
        <v>5.5</v>
      </c>
      <c r="AC25" s="11"/>
      <c r="AD25" s="11">
        <f>SUMIFS(AD$12:AD$21,$B$12:$B$21,$B25)</f>
        <v>3.25</v>
      </c>
      <c r="AE25" s="11">
        <f>SUMIFS(AE$12:AE$21,$B$12:$B$21,$B25)</f>
        <v>4.25</v>
      </c>
      <c r="AF25" s="11"/>
      <c r="AG25" s="11">
        <f t="shared" si="29"/>
        <v>7.3125</v>
      </c>
      <c r="AH25" s="11">
        <f t="shared" si="29"/>
        <v>63.75</v>
      </c>
      <c r="AI25" s="11">
        <f t="shared" si="29"/>
        <v>71.0625</v>
      </c>
      <c r="AJ25" s="11"/>
      <c r="AK25" s="11">
        <f>SUMIFS(AK$12:AK$21,$B$12:$B$21,$B25)</f>
        <v>152.4375</v>
      </c>
      <c r="AL25" s="11">
        <f>SUMIFS(AL$12:AL$21,$B$12:$B$21,$B25)</f>
        <v>156.26249999999999</v>
      </c>
    </row>
    <row r="26" spans="2:38" x14ac:dyDescent="0.3">
      <c r="C26" s="2" t="s">
        <v>62</v>
      </c>
      <c r="H26" s="14">
        <f>SUM(H12:H21)</f>
        <v>750</v>
      </c>
      <c r="I26" s="14"/>
      <c r="J26" s="14"/>
      <c r="K26" s="14"/>
      <c r="L26" s="14"/>
      <c r="M26" s="14"/>
      <c r="N26" s="14"/>
      <c r="O26" s="14"/>
      <c r="P26" s="14">
        <f>SUM(P12:P21)</f>
        <v>459</v>
      </c>
      <c r="Q26" s="14">
        <f>SUM(Q12:Q21)</f>
        <v>22.95</v>
      </c>
      <c r="R26" s="14">
        <f>SUM(R12:R21)</f>
        <v>436.05</v>
      </c>
      <c r="S26" s="14">
        <f>SUM(S12:S21)</f>
        <v>291</v>
      </c>
      <c r="T26" s="14"/>
      <c r="U26" s="14"/>
      <c r="V26" s="14"/>
      <c r="W26" s="14"/>
      <c r="X26" s="14"/>
      <c r="Y26" s="14"/>
      <c r="Z26" s="14"/>
      <c r="AA26" s="14">
        <f>SUM(AA12:AA21)</f>
        <v>10.75</v>
      </c>
      <c r="AB26" s="14">
        <f>SUM(AB12:AB21)</f>
        <v>5.5</v>
      </c>
      <c r="AC26" s="14"/>
      <c r="AD26" s="14">
        <f>SUM(AD12:AD21)</f>
        <v>10.75</v>
      </c>
      <c r="AE26" s="14">
        <f>SUM(AE12:AE21)</f>
        <v>4.25</v>
      </c>
      <c r="AF26" s="14"/>
      <c r="AG26" s="14">
        <f>SUM(AG12:AG21)</f>
        <v>24.1875</v>
      </c>
      <c r="AH26" s="14">
        <f>SUM(AH12:AH21)</f>
        <v>63.75</v>
      </c>
      <c r="AI26" s="14">
        <f>SUM(AI12:AI21)</f>
        <v>87.9375</v>
      </c>
      <c r="AJ26" s="14"/>
      <c r="AK26" s="14">
        <f>SUM(AK12:AK21)</f>
        <v>203.0625</v>
      </c>
      <c r="AL26" s="14">
        <f>SUM(AL12:AL21)</f>
        <v>226.01249999999999</v>
      </c>
    </row>
    <row r="29" spans="2:38" x14ac:dyDescent="0.3">
      <c r="K29" s="15"/>
    </row>
    <row r="30" spans="2:38" x14ac:dyDescent="0.3">
      <c r="K30" s="15"/>
    </row>
    <row r="31" spans="2:38" x14ac:dyDescent="0.3">
      <c r="T31" s="15"/>
    </row>
  </sheetData>
  <sheetProtection algorithmName="SHA-512" hashValue="n8fOdpfIGFuemsr1xpQHIkPib0O5cqLwqqFPnGaN4ZmEFKypVqE6jrb+KCUIU11BxZABH1eZ0FRaieBlhu/D/w==" saltValue="B1b53HuoRfRXLpQgFQ548A==" spinCount="100000" sheet="1" objects="1" scenarios="1"/>
  <phoneticPr fontId="6" type="noConversion"/>
  <dataValidations count="2">
    <dataValidation type="time" allowBlank="1" showInputMessage="1" showErrorMessage="1" sqref="V12:V21 I12:I21" xr:uid="{C0A6E884-98C4-514B-8DB2-2D886908A58B}">
      <formula1>0.25</formula1>
      <formula2>0.75</formula2>
    </dataValidation>
    <dataValidation type="time" allowBlank="1" showInputMessage="1" showErrorMessage="1" sqref="W12:W21 J12:J21" xr:uid="{FEBC8C71-2543-5949-B6B5-259C98154D24}">
      <formula1>0.25</formula1>
      <formula2>0.791666666666667</formula2>
    </dataValidation>
  </dataValidations>
  <hyperlinks>
    <hyperlink ref="B8" location="Instructions!B18" display="Instructions" xr:uid="{4393FD6F-B7F9-E946-8305-568967F0F1D8}"/>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E4D3-2B25-1446-A3B8-D87A9EA15FBE}">
  <dimension ref="B3:F9"/>
  <sheetViews>
    <sheetView workbookViewId="0"/>
  </sheetViews>
  <sheetFormatPr defaultColWidth="11" defaultRowHeight="15.6" x14ac:dyDescent="0.3"/>
  <cols>
    <col min="2" max="2" width="30" customWidth="1"/>
  </cols>
  <sheetData>
    <row r="3" spans="2:6" x14ac:dyDescent="0.3">
      <c r="C3" t="s">
        <v>69</v>
      </c>
      <c r="D3" t="s">
        <v>63</v>
      </c>
      <c r="E3" t="s">
        <v>64</v>
      </c>
      <c r="F3" t="s">
        <v>65</v>
      </c>
    </row>
    <row r="4" spans="2:6" x14ac:dyDescent="0.3">
      <c r="B4" t="s">
        <v>66</v>
      </c>
      <c r="C4">
        <v>15.19</v>
      </c>
      <c r="D4">
        <v>14.63</v>
      </c>
      <c r="E4">
        <v>14.29</v>
      </c>
      <c r="F4">
        <v>13.73</v>
      </c>
    </row>
    <row r="5" spans="2:6" x14ac:dyDescent="0.3">
      <c r="B5" t="s">
        <v>67</v>
      </c>
      <c r="C5">
        <f>$C$6/'Fortnightly (Detailed)'!$D$9</f>
        <v>7.5</v>
      </c>
    </row>
    <row r="6" spans="2:6" x14ac:dyDescent="0.3">
      <c r="B6" t="s">
        <v>68</v>
      </c>
      <c r="C6">
        <v>300</v>
      </c>
    </row>
    <row r="8" spans="2:6" x14ac:dyDescent="0.3">
      <c r="C8">
        <f>C4-D4</f>
        <v>0.55999999999999872</v>
      </c>
      <c r="D8">
        <f>D4-E4</f>
        <v>0.34000000000000163</v>
      </c>
      <c r="E8">
        <f>E4-F4</f>
        <v>0.55999999999999872</v>
      </c>
    </row>
    <row r="9" spans="2:6" x14ac:dyDescent="0.3">
      <c r="C9" s="26">
        <f>C8/D4</f>
        <v>3.8277511961722396E-2</v>
      </c>
      <c r="D9" s="26">
        <f>D8/E4</f>
        <v>2.3792862141357708E-2</v>
      </c>
      <c r="E9" s="26">
        <f>E8/F4</f>
        <v>4.0786598689002092E-2</v>
      </c>
    </row>
  </sheetData>
  <sheetProtection algorithmName="SHA-512" hashValue="URZgG5c7yCDkUds9cwybwo6sLJ73yQVYH1RYZN2w+7TWkOY9MndtydJe39L4snfzBC/0Kk0y935S7sh0tXbD1A==" saltValue="N+Qa4JbixEi5jO9fY17eP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Daily</vt:lpstr>
      <vt:lpstr>Fortnightly (Detailed)</vt:lpstr>
      <vt:lpstr>Lookups</vt:lpstr>
      <vt:lpstr>hr_rate_cap</vt:lpstr>
      <vt:lpstr>kindy_hours</vt:lpstr>
    </vt:vector>
  </TitlesOfParts>
  <Manager/>
  <Company>Kidsoft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Karzon</dc:creator>
  <cp:keywords/>
  <dc:description/>
  <cp:lastModifiedBy>Smith, JessicaJ</cp:lastModifiedBy>
  <cp:revision/>
  <dcterms:created xsi:type="dcterms:W3CDTF">2023-10-16T04:53:13Z</dcterms:created>
  <dcterms:modified xsi:type="dcterms:W3CDTF">2026-06-15T23:35:43Z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af8531-eb46-4968-8cb3-105d2f5ea87e_Enabled">
    <vt:lpwstr>true</vt:lpwstr>
  </property>
  <property fmtid="{D5CDD505-2E9C-101B-9397-08002B2CF9AE}" pid="3" name="MSIP_Label_69af8531-eb46-4968-8cb3-105d2f5ea87e_SetDate">
    <vt:lpwstr>2026-06-15T23:35:26Z</vt:lpwstr>
  </property>
  <property fmtid="{D5CDD505-2E9C-101B-9397-08002B2CF9AE}" pid="4" name="MSIP_Label_69af8531-eb46-4968-8cb3-105d2f5ea87e_Method">
    <vt:lpwstr>Standard</vt:lpwstr>
  </property>
  <property fmtid="{D5CDD505-2E9C-101B-9397-08002B2CF9AE}" pid="5" name="MSIP_Label_69af8531-eb46-4968-8cb3-105d2f5ea87e_Name">
    <vt:lpwstr>Official - No Marking</vt:lpwstr>
  </property>
  <property fmtid="{D5CDD505-2E9C-101B-9397-08002B2CF9AE}" pid="6" name="MSIP_Label_69af8531-eb46-4968-8cb3-105d2f5ea87e_SiteId">
    <vt:lpwstr>b46c1908-0334-4236-b978-585ee88e4199</vt:lpwstr>
  </property>
  <property fmtid="{D5CDD505-2E9C-101B-9397-08002B2CF9AE}" pid="7" name="MSIP_Label_69af8531-eb46-4968-8cb3-105d2f5ea87e_ActionId">
    <vt:lpwstr>77802aa3-f357-411e-a4d7-412cb837e326</vt:lpwstr>
  </property>
  <property fmtid="{D5CDD505-2E9C-101B-9397-08002B2CF9AE}" pid="8" name="MSIP_Label_69af8531-eb46-4968-8cb3-105d2f5ea87e_ContentBits">
    <vt:lpwstr>0</vt:lpwstr>
  </property>
  <property fmtid="{D5CDD505-2E9C-101B-9397-08002B2CF9AE}" pid="9" name="MSIP_Label_69af8531-eb46-4968-8cb3-105d2f5ea87e_Tag">
    <vt:lpwstr>10, 3, 0, 1</vt:lpwstr>
  </property>
</Properties>
</file>